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0" windowWidth="19440" windowHeight="9525" tabRatio="881" firstSheet="4" activeTab="4"/>
  </bookViews>
  <sheets>
    <sheet name="DADOS" sheetId="61" r:id="rId1"/>
    <sheet name="DESPESAS GERAIS" sheetId="62" state="hidden" r:id="rId2"/>
    <sheet name="PROPOSTA DE PREÇOS POR PRODUTO" sheetId="120" state="hidden" r:id="rId3"/>
    <sheet name="DADOS_CONSULT" sheetId="156" r:id="rId4"/>
    <sheet name="CRONOGRAMA FÍSICO FINANCEIRO" sheetId="126" r:id="rId5"/>
    <sheet name="ORÇAMENTO" sheetId="109" r:id="rId6"/>
    <sheet name="PGA" sheetId="136" r:id="rId7"/>
    <sheet name="PAC" sheetId="141" r:id="rId8"/>
    <sheet name="PPEPP" sheetId="147" r:id="rId9"/>
    <sheet name="PMCH" sheetId="36" r:id="rId10"/>
    <sheet name="CUSTO MÉDIO ÁGUA" sheetId="53" r:id="rId11"/>
    <sheet name="PPFF_RESGBMF" sheetId="148" r:id="rId12"/>
    <sheet name="PPFF_SBPCSV" sheetId="63" r:id="rId13"/>
    <sheet name="PCSEA" sheetId="45" r:id="rId14"/>
    <sheet name="MAT. COMUN. SOCIAL" sheetId="114" r:id="rId15"/>
    <sheet name="PARQUEO" sheetId="130" r:id="rId16"/>
    <sheet name="POLU ATMOSF" sheetId="125" state="hidden" r:id="rId17"/>
    <sheet name="ASS" sheetId="157" r:id="rId18"/>
  </sheets>
  <externalReferences>
    <externalReference r:id="rId19"/>
  </externalReferences>
  <definedNames>
    <definedName name="_xlnm.Print_Area" localSheetId="4">'CRONOGRAMA FÍSICO FINANCEIRO'!$B$2:$AD$22</definedName>
    <definedName name="_xlnm.Print_Area" localSheetId="10">'CUSTO MÉDIO ÁGUA'!$A$1:$E$26</definedName>
    <definedName name="_xlnm.Print_Area" localSheetId="0">DADOS!$B$1:$AL$134</definedName>
    <definedName name="_xlnm.Print_Area" localSheetId="1">'DESPESAS GERAIS'!$B$1:$I$38</definedName>
    <definedName name="_xlnm.Print_Area" localSheetId="14">'MAT. COMUN. SOCIAL'!$A$2:$H$25</definedName>
    <definedName name="_xlnm.Print_Area" localSheetId="5">ORÇAMENTO!$B$1:$K$41</definedName>
    <definedName name="_xlnm.Print_Area" localSheetId="7">PAC!$B$2:$I$60</definedName>
    <definedName name="_xlnm.Print_Area" localSheetId="15">PARQUEO!$B$2:$I$63</definedName>
    <definedName name="_xlnm.Print_Area" localSheetId="13">PCSEA!$B$2:$I$68</definedName>
    <definedName name="_xlnm.Print_Area" localSheetId="6">PGA!$B$1:$K$81</definedName>
    <definedName name="_xlnm.Print_Area" localSheetId="9">PMCH!$B$2:$I$57</definedName>
    <definedName name="_xlnm.Print_Area" localSheetId="16">'POLU ATMOSF'!$B$1:$I$44</definedName>
    <definedName name="_xlnm.Print_Area" localSheetId="8">PPEPP!$B$2:$I$39</definedName>
    <definedName name="_xlnm.Print_Area" localSheetId="11">PPFF_RESGBMF!$B$2:$I$55</definedName>
    <definedName name="_xlnm.Print_Area" localSheetId="12">PPFF_SBPCSV!$B$1:$I$53</definedName>
    <definedName name="_xlnm.Print_Area" localSheetId="2">'PROPOSTA DE PREÇOS POR PRODUTO'!$B$2:$AD$37</definedName>
  </definedNames>
  <calcPr calcId="145621"/>
</workbook>
</file>

<file path=xl/calcChain.xml><?xml version="1.0" encoding="utf-8"?>
<calcChain xmlns="http://schemas.openxmlformats.org/spreadsheetml/2006/main">
  <c r="AB16" i="126" l="1"/>
  <c r="V16" i="126"/>
  <c r="P16" i="126"/>
  <c r="J16" i="126"/>
  <c r="AD16" i="126"/>
  <c r="AB22" i="126"/>
  <c r="E22" i="126"/>
  <c r="E20" i="126"/>
  <c r="J30" i="109"/>
  <c r="J33" i="109"/>
  <c r="N14" i="147"/>
  <c r="J37" i="109"/>
  <c r="K37" i="109" s="1"/>
  <c r="J26" i="109"/>
  <c r="J25" i="109"/>
  <c r="L88" i="136"/>
  <c r="J27" i="109" l="1"/>
  <c r="AD18" i="126"/>
  <c r="AB18" i="126" s="1"/>
  <c r="AE18" i="126" s="1"/>
  <c r="I46" i="157"/>
  <c r="I45" i="157"/>
  <c r="I44" i="157"/>
  <c r="I43" i="157"/>
  <c r="I40" i="157"/>
  <c r="I37" i="157"/>
  <c r="I36" i="157"/>
  <c r="I35" i="157"/>
  <c r="I34" i="157"/>
  <c r="I33" i="157"/>
  <c r="I29" i="157"/>
  <c r="I22" i="157"/>
  <c r="I18" i="157"/>
  <c r="I19" i="157"/>
  <c r="I20" i="157"/>
  <c r="G18" i="157"/>
  <c r="G19" i="157"/>
  <c r="G20" i="157"/>
  <c r="I17" i="157"/>
  <c r="G17" i="157"/>
  <c r="H12" i="157"/>
  <c r="I12" i="157" s="1"/>
  <c r="H11" i="157"/>
  <c r="I11" i="157" s="1"/>
  <c r="H10" i="157"/>
  <c r="I10" i="157" s="1"/>
  <c r="C12" i="157"/>
  <c r="G12" i="157"/>
  <c r="C11" i="157"/>
  <c r="G11" i="157"/>
  <c r="C10" i="157"/>
  <c r="G10" i="157"/>
  <c r="H9" i="157"/>
  <c r="I9" i="157"/>
  <c r="I19" i="45"/>
  <c r="G19" i="45"/>
  <c r="C9" i="157"/>
  <c r="B26" i="157"/>
  <c r="G9" i="157"/>
  <c r="B4" i="157"/>
  <c r="B2" i="157"/>
  <c r="I27" i="157" l="1"/>
  <c r="I14" i="157"/>
  <c r="I48" i="157" l="1"/>
  <c r="I50" i="157" s="1"/>
  <c r="N15" i="130" l="1"/>
  <c r="J22" i="109"/>
  <c r="K22" i="109" s="1"/>
  <c r="I37" i="36" l="1"/>
  <c r="K22" i="136"/>
  <c r="G29" i="130" l="1"/>
  <c r="G28" i="130"/>
  <c r="G26" i="130"/>
  <c r="G27" i="130"/>
  <c r="G25" i="130"/>
  <c r="G24" i="130"/>
  <c r="G23" i="130"/>
  <c r="G22" i="130"/>
  <c r="G21" i="130"/>
  <c r="I31" i="45"/>
  <c r="I35" i="130"/>
  <c r="H34" i="130"/>
  <c r="G34" i="130"/>
  <c r="I40" i="45"/>
  <c r="I37" i="45"/>
  <c r="I30" i="45"/>
  <c r="H30" i="45"/>
  <c r="I26" i="45"/>
  <c r="I42" i="45" s="1"/>
  <c r="I16" i="45"/>
  <c r="G30" i="45"/>
  <c r="I25" i="45"/>
  <c r="I15" i="45"/>
  <c r="I20" i="45"/>
  <c r="I21" i="45"/>
  <c r="I22" i="45"/>
  <c r="I23" i="45"/>
  <c r="I24" i="45"/>
  <c r="G25" i="45"/>
  <c r="G24" i="45"/>
  <c r="G23" i="45"/>
  <c r="G22" i="45"/>
  <c r="G21" i="45"/>
  <c r="G20" i="45"/>
  <c r="G20" i="63"/>
  <c r="H22" i="63"/>
  <c r="H20" i="63"/>
  <c r="G22" i="63"/>
  <c r="G15" i="63"/>
  <c r="G14" i="63"/>
  <c r="I57" i="148"/>
  <c r="I55" i="148"/>
  <c r="I53" i="148"/>
  <c r="I51" i="148"/>
  <c r="I52" i="148"/>
  <c r="I50" i="148"/>
  <c r="I47" i="148"/>
  <c r="I41" i="148"/>
  <c r="I42" i="148"/>
  <c r="I43" i="148"/>
  <c r="I40" i="148"/>
  <c r="I36" i="148"/>
  <c r="I16" i="148"/>
  <c r="I26" i="148"/>
  <c r="I33" i="148"/>
  <c r="I44" i="148"/>
  <c r="H32" i="148"/>
  <c r="G32" i="148"/>
  <c r="H30" i="148"/>
  <c r="G30" i="148"/>
  <c r="G19" i="148"/>
  <c r="G25" i="148"/>
  <c r="G24" i="148"/>
  <c r="G23" i="148"/>
  <c r="G21" i="148"/>
  <c r="G22" i="148"/>
  <c r="G20" i="148"/>
  <c r="H10" i="148"/>
  <c r="I52" i="36"/>
  <c r="I53" i="36"/>
  <c r="I51" i="36"/>
  <c r="I54" i="36" s="1"/>
  <c r="I48" i="36"/>
  <c r="I42" i="36"/>
  <c r="I43" i="36"/>
  <c r="I44" i="36"/>
  <c r="I41" i="36"/>
  <c r="H27" i="36"/>
  <c r="G27" i="36"/>
  <c r="G26" i="36"/>
  <c r="H26" i="36"/>
  <c r="G29" i="141"/>
  <c r="G28" i="141"/>
  <c r="G27" i="141"/>
  <c r="G26" i="141"/>
  <c r="G25" i="141"/>
  <c r="G24" i="141"/>
  <c r="G23" i="141"/>
  <c r="G22" i="141"/>
  <c r="G21" i="141"/>
  <c r="G17" i="147"/>
  <c r="G19" i="147"/>
  <c r="G18" i="147"/>
  <c r="G21" i="36"/>
  <c r="G20" i="36"/>
  <c r="G19" i="36"/>
  <c r="G18" i="36"/>
  <c r="G17" i="36"/>
  <c r="I36" i="141"/>
  <c r="I18" i="141"/>
  <c r="I25" i="147"/>
  <c r="H9" i="147"/>
  <c r="H23" i="147"/>
  <c r="H24" i="147"/>
  <c r="G24" i="147"/>
  <c r="G23" i="147"/>
  <c r="G16" i="147"/>
  <c r="H35" i="141"/>
  <c r="H34" i="141"/>
  <c r="H33" i="141"/>
  <c r="G34" i="141"/>
  <c r="G35" i="141"/>
  <c r="G33" i="141"/>
  <c r="G13" i="141"/>
  <c r="H13" i="141"/>
  <c r="H12" i="141"/>
  <c r="H11" i="141"/>
  <c r="H10" i="141"/>
  <c r="C12" i="141"/>
  <c r="C13" i="141"/>
  <c r="C10" i="141"/>
  <c r="H10" i="147"/>
  <c r="C10" i="147"/>
  <c r="C11" i="141"/>
  <c r="I53" i="45" l="1"/>
  <c r="I47" i="45"/>
  <c r="I57" i="45"/>
  <c r="I48" i="45"/>
  <c r="I58" i="45"/>
  <c r="I56" i="45"/>
  <c r="I59" i="45" s="1"/>
  <c r="I49" i="45"/>
  <c r="I46" i="45"/>
  <c r="I45" i="36"/>
  <c r="I56" i="36" s="1"/>
  <c r="I58" i="36" s="1"/>
  <c r="K13" i="136"/>
  <c r="K12" i="136"/>
  <c r="I50" i="45" l="1"/>
  <c r="H11" i="130"/>
  <c r="H17" i="130"/>
  <c r="H16" i="130"/>
  <c r="H15" i="130"/>
  <c r="H14" i="130"/>
  <c r="H13" i="130"/>
  <c r="H12" i="130"/>
  <c r="H10" i="130"/>
  <c r="H9" i="130"/>
  <c r="C17" i="130"/>
  <c r="C16" i="130"/>
  <c r="C15" i="130"/>
  <c r="C14" i="130"/>
  <c r="C13" i="130"/>
  <c r="C12" i="130"/>
  <c r="C11" i="130"/>
  <c r="C10" i="130"/>
  <c r="C9" i="130"/>
  <c r="H10" i="45"/>
  <c r="C10" i="45"/>
  <c r="H15" i="45"/>
  <c r="H14" i="45"/>
  <c r="H13" i="45"/>
  <c r="H12" i="45"/>
  <c r="H11" i="45"/>
  <c r="H9" i="45"/>
  <c r="C9" i="45"/>
  <c r="C12" i="45"/>
  <c r="C15" i="45"/>
  <c r="C14" i="45"/>
  <c r="C13" i="45"/>
  <c r="C11" i="45"/>
  <c r="H10" i="63"/>
  <c r="H13" i="148"/>
  <c r="C10" i="63"/>
  <c r="C13" i="148"/>
  <c r="H9" i="63"/>
  <c r="C9" i="63"/>
  <c r="H15" i="148"/>
  <c r="H14" i="148"/>
  <c r="H9" i="148"/>
  <c r="H11" i="148"/>
  <c r="H12" i="148"/>
  <c r="C15" i="148"/>
  <c r="C14" i="148"/>
  <c r="C11" i="148"/>
  <c r="C12" i="148"/>
  <c r="C10" i="148"/>
  <c r="C9" i="148"/>
  <c r="H13" i="36"/>
  <c r="H12" i="36"/>
  <c r="H11" i="36"/>
  <c r="H10" i="36"/>
  <c r="C13" i="36"/>
  <c r="C12" i="36"/>
  <c r="C11" i="36"/>
  <c r="C10" i="36"/>
  <c r="C9" i="36"/>
  <c r="H9" i="36"/>
  <c r="H12" i="147"/>
  <c r="H11" i="147"/>
  <c r="C12" i="147"/>
  <c r="C11" i="147"/>
  <c r="C9" i="147"/>
  <c r="H16" i="141"/>
  <c r="C16" i="141"/>
  <c r="H14" i="141"/>
  <c r="C14" i="141"/>
  <c r="H15" i="141"/>
  <c r="C15" i="141"/>
  <c r="H17" i="141"/>
  <c r="C17" i="141"/>
  <c r="H9" i="141"/>
  <c r="C9" i="141"/>
  <c r="I50" i="136"/>
  <c r="H39" i="136"/>
  <c r="I39" i="136" s="1"/>
  <c r="J39" i="136"/>
  <c r="I30" i="136"/>
  <c r="I29" i="136"/>
  <c r="I28" i="136"/>
  <c r="I27" i="136"/>
  <c r="I26" i="136"/>
  <c r="I25" i="136"/>
  <c r="C17" i="136"/>
  <c r="J12" i="136"/>
  <c r="J11" i="136"/>
  <c r="J10" i="136"/>
  <c r="J20" i="136"/>
  <c r="J19" i="136"/>
  <c r="J21" i="136"/>
  <c r="J18" i="136"/>
  <c r="J17" i="136"/>
  <c r="J16" i="136"/>
  <c r="J15" i="136"/>
  <c r="J14" i="136"/>
  <c r="J13" i="136"/>
  <c r="C18" i="136"/>
  <c r="C16" i="136"/>
  <c r="C15" i="136"/>
  <c r="C14" i="136"/>
  <c r="C12" i="136"/>
  <c r="C13" i="136"/>
  <c r="C21" i="136"/>
  <c r="C20" i="136"/>
  <c r="C19" i="136"/>
  <c r="C10" i="136"/>
  <c r="C11" i="136"/>
  <c r="AG15" i="126" l="1"/>
  <c r="H6" i="114" l="1"/>
  <c r="H13" i="114"/>
  <c r="D24" i="53" l="1"/>
  <c r="D25" i="53" s="1"/>
  <c r="C24" i="53"/>
  <c r="C25" i="53" s="1"/>
  <c r="B23" i="53"/>
  <c r="B22" i="53"/>
  <c r="B21" i="53"/>
  <c r="B20" i="53"/>
  <c r="B19" i="53"/>
  <c r="B18" i="53"/>
  <c r="B17" i="53"/>
  <c r="B16" i="53"/>
  <c r="B15" i="53"/>
  <c r="B14" i="53"/>
  <c r="B13" i="53"/>
  <c r="B12" i="53"/>
  <c r="E12" i="53" s="1"/>
  <c r="B11" i="53"/>
  <c r="B10" i="53"/>
  <c r="B9" i="53"/>
  <c r="B8" i="53"/>
  <c r="B7" i="53"/>
  <c r="B6" i="53"/>
  <c r="G10" i="141"/>
  <c r="G11" i="141"/>
  <c r="G12" i="141"/>
  <c r="I12" i="141" s="1"/>
  <c r="I25" i="141" s="1"/>
  <c r="G14" i="141"/>
  <c r="G15" i="141"/>
  <c r="G16" i="141"/>
  <c r="I16" i="141" s="1"/>
  <c r="I28" i="141" s="1"/>
  <c r="G17" i="141"/>
  <c r="G9" i="141"/>
  <c r="B39" i="136" l="1"/>
  <c r="I15" i="136"/>
  <c r="I16" i="136"/>
  <c r="I18" i="136"/>
  <c r="I21" i="136"/>
  <c r="K21" i="136" s="1"/>
  <c r="K30" i="136" s="1"/>
  <c r="I19" i="136"/>
  <c r="K19" i="136" s="1"/>
  <c r="K29" i="136" s="1"/>
  <c r="G16" i="130"/>
  <c r="I16" i="130" s="1"/>
  <c r="I28" i="130" s="1"/>
  <c r="G13" i="130"/>
  <c r="G12" i="130"/>
  <c r="I12" i="130" s="1"/>
  <c r="I24" i="130" s="1"/>
  <c r="G14" i="130"/>
  <c r="G15" i="130"/>
  <c r="G11" i="130"/>
  <c r="G10" i="130"/>
  <c r="G14" i="45"/>
  <c r="I14" i="45" s="1"/>
  <c r="G13" i="45"/>
  <c r="I13" i="45" s="1"/>
  <c r="G12" i="45"/>
  <c r="I12" i="45" s="1"/>
  <c r="G11" i="45"/>
  <c r="I11" i="45" s="1"/>
  <c r="K16" i="136" l="1"/>
  <c r="K15" i="136"/>
  <c r="K18" i="136"/>
  <c r="I11" i="130"/>
  <c r="I23" i="130" s="1"/>
  <c r="I15" i="130"/>
  <c r="I27" i="130" s="1"/>
  <c r="I14" i="130"/>
  <c r="I26" i="130" s="1"/>
  <c r="I13" i="130"/>
  <c r="I25" i="130" s="1"/>
  <c r="I10" i="130"/>
  <c r="I22" i="130" s="1"/>
  <c r="G13" i="148" l="1"/>
  <c r="G12" i="148"/>
  <c r="B32" i="148"/>
  <c r="B30" i="148"/>
  <c r="G15" i="148"/>
  <c r="G14" i="148"/>
  <c r="G11" i="148"/>
  <c r="G10" i="148"/>
  <c r="G9" i="148"/>
  <c r="B4" i="148"/>
  <c r="B2" i="148"/>
  <c r="B27" i="36"/>
  <c r="B26" i="36"/>
  <c r="G13" i="36"/>
  <c r="G12" i="36"/>
  <c r="G11" i="36"/>
  <c r="G10" i="36"/>
  <c r="G12" i="147"/>
  <c r="I12" i="147" s="1"/>
  <c r="I19" i="147" s="1"/>
  <c r="G11" i="147"/>
  <c r="G10" i="147"/>
  <c r="G9" i="147"/>
  <c r="B4" i="147"/>
  <c r="B2" i="147"/>
  <c r="I23" i="147" l="1"/>
  <c r="I12" i="148"/>
  <c r="I22" i="148" s="1"/>
  <c r="I13" i="148"/>
  <c r="I23" i="148" s="1"/>
  <c r="I14" i="148"/>
  <c r="I24" i="148" s="1"/>
  <c r="I11" i="148"/>
  <c r="I21" i="148" s="1"/>
  <c r="I9" i="147"/>
  <c r="I24" i="147"/>
  <c r="I11" i="147"/>
  <c r="I18" i="147" s="1"/>
  <c r="I32" i="148"/>
  <c r="I30" i="148"/>
  <c r="I10" i="148"/>
  <c r="I20" i="148" s="1"/>
  <c r="I9" i="148"/>
  <c r="I19" i="148" s="1"/>
  <c r="I15" i="148"/>
  <c r="I25" i="148" s="1"/>
  <c r="I12" i="36"/>
  <c r="I20" i="36" s="1"/>
  <c r="I27" i="36"/>
  <c r="I26" i="36"/>
  <c r="I11" i="36"/>
  <c r="I19" i="36" s="1"/>
  <c r="I13" i="36"/>
  <c r="I21" i="36" s="1"/>
  <c r="I10" i="36"/>
  <c r="I18" i="36" s="1"/>
  <c r="I10" i="147"/>
  <c r="I17" i="147" s="1"/>
  <c r="B4" i="141"/>
  <c r="B2" i="141"/>
  <c r="B22" i="63"/>
  <c r="B20" i="63"/>
  <c r="I16" i="147" l="1"/>
  <c r="I13" i="147"/>
  <c r="I20" i="147"/>
  <c r="I28" i="147" s="1"/>
  <c r="I39" i="147" s="1"/>
  <c r="I28" i="36"/>
  <c r="C76" i="136"/>
  <c r="J35" i="136" s="1"/>
  <c r="K35" i="136" s="1"/>
  <c r="C70" i="136"/>
  <c r="J34" i="136" s="1"/>
  <c r="K34" i="136" s="1"/>
  <c r="I35" i="147" l="1"/>
  <c r="I33" i="147"/>
  <c r="I44" i="147"/>
  <c r="I32" i="147"/>
  <c r="I42" i="147"/>
  <c r="I34" i="147"/>
  <c r="I43" i="147"/>
  <c r="K36" i="136"/>
  <c r="G10" i="45"/>
  <c r="G15" i="45"/>
  <c r="B2" i="126"/>
  <c r="E4" i="61"/>
  <c r="I45" i="147" l="1"/>
  <c r="I36" i="147"/>
  <c r="I47" i="147" s="1"/>
  <c r="I49" i="147" s="1"/>
  <c r="J19" i="109" s="1"/>
  <c r="E22" i="53"/>
  <c r="E19" i="53" l="1"/>
  <c r="E16" i="53"/>
  <c r="E13" i="53"/>
  <c r="E9" i="53"/>
  <c r="E7" i="53"/>
  <c r="E8" i="53"/>
  <c r="E10" i="53"/>
  <c r="E11" i="53"/>
  <c r="E14" i="53"/>
  <c r="E15" i="53"/>
  <c r="E17" i="53"/>
  <c r="E18" i="53"/>
  <c r="E20" i="53"/>
  <c r="E21" i="53"/>
  <c r="E23" i="53"/>
  <c r="E6" i="53"/>
  <c r="E24" i="53" s="1"/>
  <c r="H33" i="36" s="1"/>
  <c r="B24" i="53" l="1"/>
  <c r="B25" i="53" s="1"/>
  <c r="AD7" i="126" l="1"/>
  <c r="B2" i="125" l="1"/>
  <c r="B4" i="125"/>
  <c r="G9" i="125"/>
  <c r="C10" i="125"/>
  <c r="G10" i="125"/>
  <c r="I12" i="136" l="1"/>
  <c r="I11" i="136"/>
  <c r="I10" i="136"/>
  <c r="I20" i="136"/>
  <c r="I17" i="136"/>
  <c r="I14" i="136"/>
  <c r="I13" i="136"/>
  <c r="B4" i="136"/>
  <c r="B2" i="136"/>
  <c r="AD8" i="120" l="1"/>
  <c r="B34" i="130" l="1"/>
  <c r="B30" i="45"/>
  <c r="B4" i="63"/>
  <c r="H8" i="62"/>
  <c r="I8" i="62" s="1"/>
  <c r="B22" i="125"/>
  <c r="F6" i="114"/>
  <c r="G10" i="63"/>
  <c r="G9" i="63"/>
  <c r="F13" i="61"/>
  <c r="G17" i="130"/>
  <c r="G9" i="130"/>
  <c r="B4" i="130"/>
  <c r="B2" i="130"/>
  <c r="B2" i="63"/>
  <c r="J15" i="62"/>
  <c r="C15" i="62" s="1"/>
  <c r="J13" i="62"/>
  <c r="C13" i="62" s="1"/>
  <c r="J19" i="62"/>
  <c r="J17" i="62"/>
  <c r="C17" i="62" s="1"/>
  <c r="G22" i="125"/>
  <c r="H18" i="62"/>
  <c r="H17" i="62"/>
  <c r="AG18" i="120"/>
  <c r="B2" i="120"/>
  <c r="B28" i="62"/>
  <c r="H16" i="62"/>
  <c r="H15" i="62"/>
  <c r="H22" i="62"/>
  <c r="I22" i="62" s="1"/>
  <c r="H21" i="62"/>
  <c r="I21" i="62" s="1"/>
  <c r="H20" i="62"/>
  <c r="I20" i="62" s="1"/>
  <c r="H19" i="62"/>
  <c r="I19" i="62" s="1"/>
  <c r="H12" i="62"/>
  <c r="I12" i="62" s="1"/>
  <c r="H11" i="62"/>
  <c r="I11" i="62" s="1"/>
  <c r="G34" i="36"/>
  <c r="I34" i="36" s="1"/>
  <c r="G33" i="36"/>
  <c r="B2" i="114"/>
  <c r="F18" i="114"/>
  <c r="H18" i="114" s="1"/>
  <c r="F17" i="114"/>
  <c r="H17" i="114" s="1"/>
  <c r="F16" i="114"/>
  <c r="H16" i="114" s="1"/>
  <c r="F15" i="114"/>
  <c r="H15" i="114" s="1"/>
  <c r="F14" i="114"/>
  <c r="H14" i="114" s="1"/>
  <c r="F13" i="114"/>
  <c r="F12" i="114"/>
  <c r="H12" i="114" s="1"/>
  <c r="F11" i="114"/>
  <c r="H11" i="114"/>
  <c r="F10" i="114"/>
  <c r="H10" i="114" s="1"/>
  <c r="F9" i="114"/>
  <c r="H9" i="114"/>
  <c r="F8" i="114"/>
  <c r="H8" i="114" s="1"/>
  <c r="F7" i="114"/>
  <c r="H7" i="114" s="1"/>
  <c r="F33" i="62"/>
  <c r="F32" i="62"/>
  <c r="B4" i="109"/>
  <c r="B2" i="109"/>
  <c r="B2" i="45"/>
  <c r="B2" i="36"/>
  <c r="G9" i="36"/>
  <c r="I9" i="36" s="1"/>
  <c r="I17" i="36" s="1"/>
  <c r="I22" i="36" s="1"/>
  <c r="H14" i="62"/>
  <c r="H10" i="62"/>
  <c r="I10" i="62" s="1"/>
  <c r="H13" i="62"/>
  <c r="H9" i="62"/>
  <c r="I9" i="62" s="1"/>
  <c r="F30" i="62"/>
  <c r="F29" i="62"/>
  <c r="J5" i="61"/>
  <c r="J6" i="61" s="1"/>
  <c r="E5" i="61"/>
  <c r="E6" i="61" s="1"/>
  <c r="G36" i="45"/>
  <c r="I36" i="45" s="1"/>
  <c r="G35" i="45"/>
  <c r="I35" i="45" s="1"/>
  <c r="G34" i="45"/>
  <c r="I34" i="45" s="1"/>
  <c r="B4" i="62"/>
  <c r="B2" i="62"/>
  <c r="F28" i="62"/>
  <c r="B4" i="36"/>
  <c r="B4" i="45"/>
  <c r="K4" i="61"/>
  <c r="J4" i="61"/>
  <c r="G9" i="45"/>
  <c r="I10" i="45" l="1"/>
  <c r="E8" i="61"/>
  <c r="F8" i="61" s="1"/>
  <c r="K5" i="61"/>
  <c r="K6" i="61" s="1"/>
  <c r="J12" i="61"/>
  <c r="K12" i="61" s="1"/>
  <c r="J9" i="61"/>
  <c r="K9" i="61" s="1"/>
  <c r="J11" i="61"/>
  <c r="K11" i="61" s="1"/>
  <c r="I33" i="141" s="1"/>
  <c r="J10" i="61"/>
  <c r="K10" i="61" s="1"/>
  <c r="I15" i="62"/>
  <c r="I16" i="62"/>
  <c r="H9" i="125"/>
  <c r="I9" i="125" s="1"/>
  <c r="F19" i="114"/>
  <c r="I33" i="36"/>
  <c r="I35" i="36" s="1"/>
  <c r="I18" i="62"/>
  <c r="H19" i="114"/>
  <c r="I14" i="62"/>
  <c r="I13" i="62"/>
  <c r="I17" i="62"/>
  <c r="J8" i="61"/>
  <c r="K39" i="136" s="1"/>
  <c r="E23" i="61"/>
  <c r="F23" i="61" s="1"/>
  <c r="E22" i="61"/>
  <c r="F22" i="61" s="1"/>
  <c r="E21" i="61"/>
  <c r="E20" i="61"/>
  <c r="E19" i="61"/>
  <c r="F19" i="61" s="1"/>
  <c r="E18" i="61"/>
  <c r="F18" i="61" s="1"/>
  <c r="E17" i="61"/>
  <c r="F17" i="61" s="1"/>
  <c r="E16" i="61"/>
  <c r="E15" i="61"/>
  <c r="F15" i="61" s="1"/>
  <c r="E14" i="61"/>
  <c r="F14" i="61" s="1"/>
  <c r="E11" i="61"/>
  <c r="E10" i="61"/>
  <c r="E9" i="61"/>
  <c r="E12" i="61"/>
  <c r="J43" i="61"/>
  <c r="K43" i="61" s="1"/>
  <c r="J17" i="61"/>
  <c r="J18" i="61"/>
  <c r="K18" i="61" s="1"/>
  <c r="J19" i="61"/>
  <c r="K19" i="61" s="1"/>
  <c r="J21" i="61"/>
  <c r="K21" i="61" s="1"/>
  <c r="J22" i="61"/>
  <c r="K22" i="61" s="1"/>
  <c r="J20" i="61"/>
  <c r="K20" i="61" s="1"/>
  <c r="J16" i="61"/>
  <c r="K16" i="61" s="1"/>
  <c r="J33" i="61"/>
  <c r="K33" i="61" s="1"/>
  <c r="J34" i="61"/>
  <c r="J32" i="61"/>
  <c r="J38" i="61"/>
  <c r="J39" i="61"/>
  <c r="I35" i="141" l="1"/>
  <c r="I34" i="130"/>
  <c r="I20" i="63"/>
  <c r="I13" i="141"/>
  <c r="I26" i="141" s="1"/>
  <c r="K17" i="61"/>
  <c r="F11" i="61"/>
  <c r="K17" i="136"/>
  <c r="K28" i="136" s="1"/>
  <c r="K20" i="136"/>
  <c r="K14" i="136"/>
  <c r="K27" i="136" s="1"/>
  <c r="F10" i="61"/>
  <c r="F16" i="61"/>
  <c r="G28" i="62"/>
  <c r="H28" i="62" s="1"/>
  <c r="F20" i="61"/>
  <c r="K10" i="136"/>
  <c r="K25" i="136" s="1"/>
  <c r="F21" i="61"/>
  <c r="I17" i="141" s="1"/>
  <c r="I29" i="141" s="1"/>
  <c r="K11" i="136"/>
  <c r="K26" i="136"/>
  <c r="F12" i="61"/>
  <c r="H10" i="125"/>
  <c r="I10" i="125" s="1"/>
  <c r="I11" i="125" s="1"/>
  <c r="F9" i="61"/>
  <c r="I23" i="62"/>
  <c r="I22" i="63"/>
  <c r="K8" i="61"/>
  <c r="I34" i="141" s="1"/>
  <c r="I10" i="63"/>
  <c r="I15" i="63" s="1"/>
  <c r="I17" i="130"/>
  <c r="I29" i="130" s="1"/>
  <c r="G33" i="62"/>
  <c r="H33" i="62" s="1"/>
  <c r="K39" i="61"/>
  <c r="G30" i="62"/>
  <c r="K38" i="61"/>
  <c r="G32" i="62"/>
  <c r="H32" i="62" s="1"/>
  <c r="K34" i="61"/>
  <c r="K32" i="61"/>
  <c r="G29" i="62"/>
  <c r="I23" i="63" l="1"/>
  <c r="K31" i="136"/>
  <c r="I11" i="141"/>
  <c r="I24" i="141" s="1"/>
  <c r="I14" i="141"/>
  <c r="I22" i="141" s="1"/>
  <c r="I10" i="141"/>
  <c r="I23" i="141" s="1"/>
  <c r="I15" i="141"/>
  <c r="I27" i="141" s="1"/>
  <c r="I9" i="130"/>
  <c r="I9" i="45"/>
  <c r="I9" i="63"/>
  <c r="I9" i="141"/>
  <c r="I21" i="141" s="1"/>
  <c r="H14" i="125"/>
  <c r="I14" i="125" s="1"/>
  <c r="H17" i="125"/>
  <c r="I17" i="125" s="1"/>
  <c r="H22" i="125"/>
  <c r="I22" i="125" s="1"/>
  <c r="H34" i="62"/>
  <c r="H30" i="62"/>
  <c r="H29" i="62"/>
  <c r="I18" i="130" l="1"/>
  <c r="I21" i="130"/>
  <c r="I30" i="130" s="1"/>
  <c r="I11" i="63"/>
  <c r="I14" i="63"/>
  <c r="I16" i="63" s="1"/>
  <c r="I30" i="141"/>
  <c r="I39" i="141" s="1"/>
  <c r="I45" i="141" s="1"/>
  <c r="I14" i="36"/>
  <c r="K40" i="136"/>
  <c r="K42" i="136" s="1"/>
  <c r="H31" i="62"/>
  <c r="H36" i="62" s="1"/>
  <c r="I38" i="62" s="1"/>
  <c r="I25" i="125"/>
  <c r="H29" i="125" s="1"/>
  <c r="I25" i="63" l="1"/>
  <c r="I37" i="130"/>
  <c r="I50" i="141"/>
  <c r="I53" i="141"/>
  <c r="I55" i="141"/>
  <c r="I43" i="141"/>
  <c r="I46" i="141"/>
  <c r="I54" i="141"/>
  <c r="I44" i="141"/>
  <c r="K57" i="136"/>
  <c r="K58" i="136"/>
  <c r="K56" i="136"/>
  <c r="K53" i="136"/>
  <c r="I29" i="125"/>
  <c r="H31" i="125" s="1"/>
  <c r="I31" i="125" s="1"/>
  <c r="I39" i="63" l="1"/>
  <c r="I30" i="63"/>
  <c r="I29" i="63"/>
  <c r="I41" i="63"/>
  <c r="I40" i="63"/>
  <c r="I32" i="63"/>
  <c r="I31" i="63"/>
  <c r="I36" i="63"/>
  <c r="I51" i="130"/>
  <c r="I42" i="130"/>
  <c r="I44" i="130"/>
  <c r="I52" i="130"/>
  <c r="I53" i="130"/>
  <c r="I48" i="130"/>
  <c r="I43" i="130"/>
  <c r="I41" i="130"/>
  <c r="I56" i="141"/>
  <c r="I47" i="141"/>
  <c r="I58" i="141" s="1"/>
  <c r="I60" i="141" s="1"/>
  <c r="K59" i="136"/>
  <c r="I61" i="45"/>
  <c r="I63" i="45" s="1"/>
  <c r="K30" i="109" s="1"/>
  <c r="K47" i="136"/>
  <c r="K48" i="136"/>
  <c r="K49" i="136"/>
  <c r="K46" i="136"/>
  <c r="AE25" i="120"/>
  <c r="AE24" i="120"/>
  <c r="I33" i="125"/>
  <c r="I35" i="125" s="1"/>
  <c r="I33" i="63" l="1"/>
  <c r="I42" i="63"/>
  <c r="I45" i="130"/>
  <c r="I54" i="130"/>
  <c r="K50" i="136"/>
  <c r="K61" i="136" s="1"/>
  <c r="K63" i="136" s="1"/>
  <c r="J15" i="109"/>
  <c r="K15" i="109" s="1"/>
  <c r="J12" i="109"/>
  <c r="K12" i="109" s="1"/>
  <c r="AD11" i="126" s="1"/>
  <c r="AA11" i="126" s="1"/>
  <c r="AE29" i="120"/>
  <c r="I44" i="63" l="1"/>
  <c r="I46" i="63" s="1"/>
  <c r="K27" i="109" s="1"/>
  <c r="AD12" i="126"/>
  <c r="Q12" i="126" s="1"/>
  <c r="I56" i="130"/>
  <c r="I58" i="130" s="1"/>
  <c r="S11" i="126"/>
  <c r="U11" i="126"/>
  <c r="V11" i="126"/>
  <c r="X11" i="126"/>
  <c r="Z11" i="126"/>
  <c r="AB11" i="126"/>
  <c r="W11" i="126"/>
  <c r="Y11" i="126"/>
  <c r="G12" i="126"/>
  <c r="P12" i="126"/>
  <c r="J12" i="126"/>
  <c r="M12" i="126"/>
  <c r="K12" i="126"/>
  <c r="H12" i="126"/>
  <c r="O12" i="126"/>
  <c r="L12" i="126"/>
  <c r="N12" i="126"/>
  <c r="T11" i="126"/>
  <c r="AE13" i="120"/>
  <c r="AE26" i="120"/>
  <c r="K19" i="109"/>
  <c r="AD13" i="126" s="1"/>
  <c r="AE22" i="120"/>
  <c r="I12" i="126" l="1"/>
  <c r="F12" i="126"/>
  <c r="AE12" i="126" s="1"/>
  <c r="AD15" i="126"/>
  <c r="J15" i="126" s="1"/>
  <c r="J13" i="126"/>
  <c r="G13" i="126"/>
  <c r="M13" i="126"/>
  <c r="P13" i="126"/>
  <c r="AD14" i="126"/>
  <c r="J14" i="126" s="1"/>
  <c r="N15" i="126"/>
  <c r="M15" i="126"/>
  <c r="I15" i="126"/>
  <c r="Q15" i="126"/>
  <c r="L15" i="126"/>
  <c r="AA22" i="126"/>
  <c r="Z22" i="126"/>
  <c r="X22" i="126"/>
  <c r="W22" i="126"/>
  <c r="U22" i="126"/>
  <c r="T22" i="126"/>
  <c r="AF13" i="120"/>
  <c r="AE21" i="120"/>
  <c r="AE16" i="120"/>
  <c r="AE20" i="120"/>
  <c r="AE33" i="120"/>
  <c r="AE18" i="120"/>
  <c r="AE23" i="120"/>
  <c r="AE19" i="120"/>
  <c r="AE17" i="120"/>
  <c r="AE16" i="126" l="1"/>
  <c r="H15" i="126"/>
  <c r="F15" i="126"/>
  <c r="O15" i="126"/>
  <c r="P15" i="126"/>
  <c r="K15" i="126"/>
  <c r="AE15" i="126" s="1"/>
  <c r="G14" i="126"/>
  <c r="G15" i="126"/>
  <c r="M14" i="126"/>
  <c r="P14" i="126"/>
  <c r="S22" i="126"/>
  <c r="V22" i="126"/>
  <c r="Y22" i="126"/>
  <c r="AE13" i="126"/>
  <c r="AE14" i="126" l="1"/>
  <c r="AC33" i="120"/>
  <c r="AC31" i="120"/>
  <c r="H11" i="126"/>
  <c r="P11" i="126"/>
  <c r="L11" i="126"/>
  <c r="O11" i="126"/>
  <c r="I11" i="126"/>
  <c r="K11" i="126"/>
  <c r="G11" i="126"/>
  <c r="R11" i="126"/>
  <c r="R22" i="126" s="1"/>
  <c r="F11" i="126"/>
  <c r="N11" i="126"/>
  <c r="M11" i="126"/>
  <c r="J11" i="126"/>
  <c r="E11" i="126"/>
  <c r="Q11" i="126"/>
  <c r="AE11" i="126" l="1"/>
  <c r="K33" i="109" l="1"/>
  <c r="K39" i="109" l="1"/>
  <c r="K41" i="109" s="1"/>
  <c r="AD22" i="126" s="1"/>
  <c r="AD17" i="126"/>
  <c r="AE21" i="126" s="1"/>
  <c r="AC18" i="126" l="1"/>
  <c r="AB20" i="126"/>
  <c r="Z20" i="126"/>
  <c r="N17" i="126"/>
  <c r="N22" i="126" s="1"/>
  <c r="N20" i="126" s="1"/>
  <c r="N35" i="120" s="1"/>
  <c r="K17" i="126"/>
  <c r="K22" i="126" s="1"/>
  <c r="K20" i="126" s="1"/>
  <c r="K35" i="120" s="1"/>
  <c r="L17" i="126"/>
  <c r="L22" i="126" s="1"/>
  <c r="L20" i="126" s="1"/>
  <c r="L35" i="120" s="1"/>
  <c r="M17" i="126"/>
  <c r="M22" i="126" s="1"/>
  <c r="M20" i="126" s="1"/>
  <c r="M35" i="120" s="1"/>
  <c r="G17" i="126"/>
  <c r="F17" i="126"/>
  <c r="J17" i="126"/>
  <c r="J22" i="126" s="1"/>
  <c r="J20" i="126" s="1"/>
  <c r="J35" i="120" s="1"/>
  <c r="I17" i="126"/>
  <c r="I22" i="126" s="1"/>
  <c r="I20" i="126" s="1"/>
  <c r="I35" i="120" s="1"/>
  <c r="P17" i="126"/>
  <c r="P22" i="126" s="1"/>
  <c r="H17" i="126"/>
  <c r="H22" i="126" s="1"/>
  <c r="H20" i="126" s="1"/>
  <c r="H35" i="120" s="1"/>
  <c r="O17" i="126"/>
  <c r="O22" i="126" s="1"/>
  <c r="O20" i="126" s="1"/>
  <c r="O35" i="120" s="1"/>
  <c r="Q17" i="126"/>
  <c r="Q22" i="126" s="1"/>
  <c r="Q20" i="126" s="1"/>
  <c r="Q35" i="120" s="1"/>
  <c r="AC29" i="120"/>
  <c r="AC24" i="120"/>
  <c r="AC22" i="120"/>
  <c r="AC27" i="120"/>
  <c r="T20" i="126"/>
  <c r="T35" i="120" s="1"/>
  <c r="X20" i="126"/>
  <c r="V20" i="126"/>
  <c r="AB35" i="120" s="1"/>
  <c r="W20" i="126"/>
  <c r="AC16" i="126"/>
  <c r="Y20" i="126"/>
  <c r="AC23" i="120"/>
  <c r="AC13" i="126"/>
  <c r="AC16" i="120" s="1"/>
  <c r="AA20" i="126"/>
  <c r="AC15" i="126"/>
  <c r="AC18" i="120" s="1"/>
  <c r="AC14" i="126"/>
  <c r="AC17" i="120" s="1"/>
  <c r="AC21" i="120"/>
  <c r="U20" i="126"/>
  <c r="U35" i="120" s="1"/>
  <c r="S20" i="126"/>
  <c r="S35" i="120" s="1"/>
  <c r="AC11" i="126"/>
  <c r="AC12" i="126"/>
  <c r="AC15" i="120" s="1"/>
  <c r="R20" i="126"/>
  <c r="R35" i="120" s="1"/>
  <c r="AC26" i="120"/>
  <c r="AC25" i="120"/>
  <c r="AC17" i="126"/>
  <c r="AC20" i="120" s="1"/>
  <c r="P20" i="126" l="1"/>
  <c r="P35" i="120" s="1"/>
  <c r="AC19" i="120"/>
  <c r="AC19" i="126"/>
  <c r="E21" i="126"/>
  <c r="E36" i="120" s="1"/>
  <c r="AC22" i="126"/>
  <c r="AE17" i="126"/>
  <c r="AC13" i="120"/>
  <c r="AF33" i="120" s="1"/>
  <c r="E35" i="120"/>
  <c r="F22" i="126"/>
  <c r="F20" i="126" l="1"/>
  <c r="F35" i="120" l="1"/>
  <c r="F21" i="126"/>
  <c r="F36" i="120" l="1"/>
  <c r="G22" i="126"/>
  <c r="AE22" i="126" s="1"/>
  <c r="G20" i="126" l="1"/>
  <c r="AD20" i="126" s="1"/>
  <c r="G21" i="126"/>
  <c r="H21" i="126" s="1"/>
  <c r="I21" i="126" s="1"/>
  <c r="J21" i="126" s="1"/>
  <c r="K21" i="126" s="1"/>
  <c r="L21" i="126" s="1"/>
  <c r="M21" i="126" s="1"/>
  <c r="N21" i="126" s="1"/>
  <c r="O21" i="126" s="1"/>
  <c r="P21" i="126" s="1"/>
  <c r="Q21" i="126" s="1"/>
  <c r="R21" i="126" s="1"/>
  <c r="S21" i="126" s="1"/>
  <c r="T21" i="126" s="1"/>
  <c r="U21" i="126" s="1"/>
  <c r="V21" i="126" s="1"/>
  <c r="W21" i="126" s="1"/>
  <c r="X21" i="126" s="1"/>
  <c r="Y21" i="126" s="1"/>
  <c r="Z21" i="126" s="1"/>
  <c r="AA21" i="126" s="1"/>
  <c r="AB21" i="126" s="1"/>
  <c r="G35" i="120" l="1"/>
  <c r="G36" i="120" l="1"/>
  <c r="H36" i="120" s="1"/>
  <c r="I36" i="120" s="1"/>
  <c r="J36" i="120" s="1"/>
  <c r="K36" i="120" s="1"/>
  <c r="L36" i="120" s="1"/>
  <c r="M36" i="120" s="1"/>
  <c r="N36" i="120" s="1"/>
  <c r="O36" i="120" s="1"/>
  <c r="P36" i="120" s="1"/>
  <c r="Q36" i="120" s="1"/>
  <c r="R36" i="120" s="1"/>
  <c r="S36" i="120" s="1"/>
  <c r="T36" i="120" s="1"/>
  <c r="U36" i="120" s="1"/>
  <c r="AB36" i="120" s="1"/>
  <c r="AC35" i="120"/>
</calcChain>
</file>

<file path=xl/sharedStrings.xml><?xml version="1.0" encoding="utf-8"?>
<sst xmlns="http://schemas.openxmlformats.org/spreadsheetml/2006/main" count="1968" uniqueCount="713">
  <si>
    <t>SALÁRIOS DA EQUIPE</t>
  </si>
  <si>
    <t>NÍVEL</t>
  </si>
  <si>
    <t>P0</t>
  </si>
  <si>
    <t>P1</t>
  </si>
  <si>
    <t>P2</t>
  </si>
  <si>
    <t>P3</t>
  </si>
  <si>
    <t>P4</t>
  </si>
  <si>
    <t>T0</t>
  </si>
  <si>
    <t>T1</t>
  </si>
  <si>
    <t>T2</t>
  </si>
  <si>
    <t>T4</t>
  </si>
  <si>
    <t>A0</t>
  </si>
  <si>
    <t>A1</t>
  </si>
  <si>
    <t>A2</t>
  </si>
  <si>
    <t>TOTAL</t>
  </si>
  <si>
    <t>R$</t>
  </si>
  <si>
    <t>T3</t>
  </si>
  <si>
    <t>A3</t>
  </si>
  <si>
    <t>A4</t>
  </si>
  <si>
    <t>DIÁRIAS</t>
  </si>
  <si>
    <t>VEÍCULOS</t>
  </si>
  <si>
    <t>TIPO</t>
  </si>
  <si>
    <t>MËS</t>
  </si>
  <si>
    <t>DIA</t>
  </si>
  <si>
    <t>EQUIPAMENTOS</t>
  </si>
  <si>
    <t>SERVIÇOS GRÁFICOS</t>
  </si>
  <si>
    <t>MÊS</t>
  </si>
  <si>
    <t>ÍNDICE</t>
  </si>
  <si>
    <t>IMÓVEIS</t>
  </si>
  <si>
    <t>MOBILIÁRIO</t>
  </si>
  <si>
    <t>QUANTIDADE</t>
  </si>
  <si>
    <t>DISCRIMINAÇÃO</t>
  </si>
  <si>
    <t>UNIDADE</t>
  </si>
  <si>
    <t>CUSTO UNIT.</t>
  </si>
  <si>
    <t>CUSTO TOTAL</t>
  </si>
  <si>
    <t>mês</t>
  </si>
  <si>
    <t>FOLHA DE DADOS</t>
  </si>
  <si>
    <t>I - CUSTOS DIRETOS</t>
  </si>
  <si>
    <t>II - CUSTOS INDIRETOS</t>
  </si>
  <si>
    <t>CONSULTOR ESPECIAL</t>
  </si>
  <si>
    <t>SERVENTES/CONTÍNUOS</t>
  </si>
  <si>
    <t>VIGIAS</t>
  </si>
  <si>
    <t>mês/ano</t>
  </si>
  <si>
    <t>indice</t>
  </si>
  <si>
    <t>k</t>
  </si>
  <si>
    <t>DESPESAS GERAIS</t>
  </si>
  <si>
    <t>Unidade</t>
  </si>
  <si>
    <t>SECRETÁRIA</t>
  </si>
  <si>
    <t>Quant.</t>
  </si>
  <si>
    <t>Total</t>
  </si>
  <si>
    <t>Valor Unit.</t>
  </si>
  <si>
    <t>DESCRIÇÃO</t>
  </si>
  <si>
    <t>CUSTO</t>
  </si>
  <si>
    <t>A-EQUIPE</t>
  </si>
  <si>
    <t>UNIT.</t>
  </si>
  <si>
    <t>Profissional</t>
  </si>
  <si>
    <t>Nível</t>
  </si>
  <si>
    <t>Prof.</t>
  </si>
  <si>
    <t>B-ENCARGOS SOCIAIS</t>
  </si>
  <si>
    <t>C-CUSTOS ADMINISTRATIVOS</t>
  </si>
  <si>
    <t>Dias</t>
  </si>
  <si>
    <t>Descrição</t>
  </si>
  <si>
    <t>Qtd.</t>
  </si>
  <si>
    <t>(%) (2)</t>
  </si>
  <si>
    <t>Meses</t>
  </si>
  <si>
    <t>Quant. Homens Mês</t>
  </si>
  <si>
    <t>(4) = (1*2*3)</t>
  </si>
  <si>
    <t>(1)</t>
  </si>
  <si>
    <t>(3)</t>
  </si>
  <si>
    <t>(5)</t>
  </si>
  <si>
    <t>Valor Unitário R$mês</t>
  </si>
  <si>
    <t>Valor Total R$</t>
  </si>
  <si>
    <t>(6) = (4*5)</t>
  </si>
  <si>
    <t>Particip. Mensal Média</t>
  </si>
  <si>
    <t>ESCRITÓRIO - IMÓVEL</t>
  </si>
  <si>
    <t>GPS</t>
  </si>
  <si>
    <t>QUANT.</t>
  </si>
  <si>
    <t>FORMATO</t>
  </si>
  <si>
    <t>NÚMERO DE FOLHAS</t>
  </si>
  <si>
    <t>TIPO DE CÓPIA</t>
  </si>
  <si>
    <t>Xerox</t>
  </si>
  <si>
    <t>CUSTO UNITÁRIO</t>
  </si>
  <si>
    <t>Auxiliar Técnico</t>
  </si>
  <si>
    <t>Especialista Ambiental</t>
  </si>
  <si>
    <t>Cartazes A2</t>
  </si>
  <si>
    <t>Folder A4</t>
  </si>
  <si>
    <t>TOTAL DOS CUSTOS DIRETOS</t>
  </si>
  <si>
    <t>A1/A3</t>
  </si>
  <si>
    <t>VALOR DE DIÁRIAS</t>
  </si>
  <si>
    <t>Deslocamento</t>
  </si>
  <si>
    <t>BSB, MAO, RIO</t>
  </si>
  <si>
    <t>BH, FOR, POA, REC, SSA, SAO</t>
  </si>
  <si>
    <t>OCE</t>
  </si>
  <si>
    <t>DD</t>
  </si>
  <si>
    <t xml:space="preserve">P4, T0, T1 </t>
  </si>
  <si>
    <t>Demais categorias</t>
  </si>
  <si>
    <t>Adicional de Embarque e Desembarque ( por viagem) - R$ 95,00</t>
  </si>
  <si>
    <t>Deslocamento - Siglas utlizadas</t>
  </si>
  <si>
    <t>BSB - Brasília</t>
  </si>
  <si>
    <t>FOR - Fortaleza</t>
  </si>
  <si>
    <t>SAO - São Paulo</t>
  </si>
  <si>
    <t>MAO - Manaus</t>
  </si>
  <si>
    <t>POA - Porto Alegre</t>
  </si>
  <si>
    <t>OCE - Outras Capitais de Estados</t>
  </si>
  <si>
    <t>RIO - Rio de Janeiro</t>
  </si>
  <si>
    <t>REC - Recife</t>
  </si>
  <si>
    <t>DD - Demais Deslocamentos</t>
  </si>
  <si>
    <t>BH - Belo Horizonte</t>
  </si>
  <si>
    <t>SSA - Salvador</t>
  </si>
  <si>
    <t>Cartilhas</t>
  </si>
  <si>
    <t>Boletins informativos</t>
  </si>
  <si>
    <t>Placas</t>
  </si>
  <si>
    <t>Camisetas</t>
  </si>
  <si>
    <t>Revistinhas 5 folhas x A4</t>
  </si>
  <si>
    <t>Lixeira TNT</t>
  </si>
  <si>
    <t>Chaveiros</t>
  </si>
  <si>
    <t>Boneco Tamanho 2 metros</t>
  </si>
  <si>
    <t>Adesivos para veículos</t>
  </si>
  <si>
    <t>a) Parâmetros Físico-Químicos</t>
  </si>
  <si>
    <t>Tipo de Parâmetro</t>
  </si>
  <si>
    <t>VALOR TOTAL</t>
  </si>
  <si>
    <t>COORDENADOR</t>
  </si>
  <si>
    <t>ENGENHEIRO PROFISSIONAL SÊNIOR</t>
  </si>
  <si>
    <t>ENGENHEIRO PROFISSIONAL PLENO</t>
  </si>
  <si>
    <t>ENGENHEIRO PROFISSIONAL JÚNIOR</t>
  </si>
  <si>
    <t>ENGENHEIRO PROFISSIONAL AUXILIAR</t>
  </si>
  <si>
    <t>TÉCNICO ESPECIAL</t>
  </si>
  <si>
    <t>TÉCNICO SÊNIOR</t>
  </si>
  <si>
    <t>TÉCNICO PLENO</t>
  </si>
  <si>
    <t>TÉCNICO JÚNIOR</t>
  </si>
  <si>
    <t>TÉCNIC AUXILIAR</t>
  </si>
  <si>
    <t>CHEFE DE ESCRITÓRIO</t>
  </si>
  <si>
    <t>AUXILIAR DE ESCRITÓRIO/DE CAMPO, MOTORISTA</t>
  </si>
  <si>
    <t>CM</t>
  </si>
  <si>
    <t>SEDAN - 71 A 115 CV</t>
  </si>
  <si>
    <t>CAMINHONETE - 71A 115 CV</t>
  </si>
  <si>
    <t>CAMINHONETE - 140 A 165 CV</t>
  </si>
  <si>
    <t>VAN - 120 A 140CV</t>
  </si>
  <si>
    <t>CAMINHÃO PARA VIGA BENKELMAN</t>
  </si>
  <si>
    <t>INSTRUMENTAL DE TOPOGRAFIA</t>
  </si>
  <si>
    <t>FALLING WEIGHT DEFLECTOMETER - FWD</t>
  </si>
  <si>
    <t>INTEGRADOR MAYSMETER</t>
  </si>
  <si>
    <t>LABORATÓRIO DE SOLOS</t>
  </si>
  <si>
    <t>LABORATÓRIO DE BETUME</t>
  </si>
  <si>
    <t>LABORATÓRIO DE CONCRETO</t>
  </si>
  <si>
    <t>Qualificação Exigida para a Equipe</t>
  </si>
  <si>
    <t xml:space="preserve">C-Consultor Especial (Eng. Ou Profissional com, no mínimo, Doutorado na área de interesse, e/ou Experiência Profissional ≥ 15 anos </t>
  </si>
  <si>
    <t>P0-Coordenador (Eng. ou Profissional-Experiência Profissional ≥ 10 anos</t>
  </si>
  <si>
    <t>P1-Eng./Profissional Sênior (Experiência Profissional ≥ 8 anos)</t>
  </si>
  <si>
    <t>P2-Eng./Profissional Pleno (Experiência Profissional ≥ 5 anos)</t>
  </si>
  <si>
    <t>P3-Eng./Profissional Júnior (Experiência Profissional ≥ 2 anos)</t>
  </si>
  <si>
    <t>P4-Eng./Profissional Auxiliar (Formação 3º grau)</t>
  </si>
  <si>
    <t>T0-Técnico Especial (2º grau completo-Experiência Profissional ≥ 10 anos)</t>
  </si>
  <si>
    <t>CASA ENGEN.</t>
  </si>
  <si>
    <t>T1-Técnico Sênior (2º grau completo-Experiência Profissional ≥ 8 anos)</t>
  </si>
  <si>
    <t>ALOJAMENTO</t>
  </si>
  <si>
    <t>T2-Técnico Pleno (2º grau completo-Experiência Profissional ≥ 5 anos)</t>
  </si>
  <si>
    <t>T3-Técnico Júnior (2º grau completo-Experiência Profissional ≥ 2 anos)</t>
  </si>
  <si>
    <t>T4-Técnico Auxiliar (Formação-2º grau completo)</t>
  </si>
  <si>
    <t>A0-Chefe de Escritório (2º grau completo-Experiência Profissional ≥ 5 anos)</t>
  </si>
  <si>
    <t>ESCRITÓRIO - MOBILIÁRIO</t>
  </si>
  <si>
    <t>Serviços de Análise Laboratoriais</t>
  </si>
  <si>
    <t>Qtde Parâmetros</t>
  </si>
  <si>
    <t>Qtde Amostras</t>
  </si>
  <si>
    <t>Qtde de Pontos Coletas</t>
  </si>
  <si>
    <t>Materiais para Coleta e Monitoramento</t>
  </si>
  <si>
    <t>Valor Total</t>
  </si>
  <si>
    <t>OBSERVAÇÃO:</t>
  </si>
  <si>
    <t>Desenvolvimento de Site</t>
  </si>
  <si>
    <t xml:space="preserve">Auxiliar Técnico </t>
  </si>
  <si>
    <t>Taxa de 84,04% dos salários</t>
  </si>
  <si>
    <t>Taxa de  30,0% dos salários</t>
  </si>
  <si>
    <t>Unid</t>
  </si>
  <si>
    <t xml:space="preserve">OBSERVAÇÕES CONSTANTES NO PBA </t>
  </si>
  <si>
    <t>Manutenção de site</t>
  </si>
  <si>
    <t>Inserções em rádio local/carro de som</t>
  </si>
  <si>
    <t xml:space="preserve">Inserções em jornal local </t>
  </si>
  <si>
    <t>Bonés</t>
  </si>
  <si>
    <t>C, P0, P1, P2, P3</t>
  </si>
  <si>
    <t>Projeto:</t>
  </si>
  <si>
    <t>A - REMUNERAÇÃO DA EMPRESA</t>
  </si>
  <si>
    <t>B - DESPESAS FISCAIS</t>
  </si>
  <si>
    <t>Nº DE VIAS</t>
  </si>
  <si>
    <t>Relatório de Mobilização e Planejamento das Atividades</t>
  </si>
  <si>
    <t>Veículos</t>
  </si>
  <si>
    <r>
      <rPr>
        <b/>
        <sz val="10"/>
        <rFont val="Spranq eco sans"/>
        <family val="2"/>
      </rPr>
      <t>c)</t>
    </r>
    <r>
      <rPr>
        <sz val="10"/>
        <rFont val="Spranq eco sans"/>
        <family val="2"/>
      </rPr>
      <t xml:space="preserve"> Veículos: 01 Veículo Sedan</t>
    </r>
  </si>
  <si>
    <r>
      <t>c)</t>
    </r>
    <r>
      <rPr>
        <sz val="10"/>
        <rFont val="Spranq eco sans"/>
        <family val="2"/>
      </rPr>
      <t xml:space="preserve"> Veículos:  01 veículo Sedan.</t>
    </r>
  </si>
  <si>
    <t>TOTAL GERAL</t>
  </si>
  <si>
    <t xml:space="preserve"> </t>
  </si>
  <si>
    <t xml:space="preserve">TOTAL </t>
  </si>
  <si>
    <t>Supervisão Ambiental</t>
  </si>
  <si>
    <t>Gerenciamento Ambiental</t>
  </si>
  <si>
    <t>Rodovia:</t>
  </si>
  <si>
    <t>Produtos</t>
  </si>
  <si>
    <t>MESES</t>
  </si>
  <si>
    <t>SUBTOTAL</t>
  </si>
  <si>
    <t>Relatórios Mensais de Andamento do Programa de Supervisão Ambiental</t>
  </si>
  <si>
    <t>MOBILIÁRIO ESCRITÓRIO  (Supervisão)</t>
  </si>
  <si>
    <t>ESCRITÓRIO IMÓVEL  (Supervisão)</t>
  </si>
  <si>
    <t>ALOJAMENTO IMÓVEL  (Supervisão)</t>
  </si>
  <si>
    <t>ALOJAMENTO  MOBILIÁRIO (Supervisão)</t>
  </si>
  <si>
    <t>Taxa de 12,00% dos subitens (A+...+E)</t>
  </si>
  <si>
    <t>TOTAL DOS CUSTOS INDIRETOS</t>
  </si>
  <si>
    <t>TOTAL DOS CUSTOS DIRETOS + INDIRETOS</t>
  </si>
  <si>
    <t>MATERIAIS PARA COMUNICAÇÃO SOCIAL</t>
  </si>
  <si>
    <t>Nº Campanhas</t>
  </si>
  <si>
    <t>Produtos de Execução dos Programas</t>
  </si>
  <si>
    <t>TOTAL DO ITEM 1 - PRODUTOS DE GERENCIAMENTO AMBIENTAL</t>
  </si>
  <si>
    <t>TOTAL DO ITEM II - CUSTOS INDIRETOS</t>
  </si>
  <si>
    <t>Taxa de 12,00% dos subitens (A1+...+D1)</t>
  </si>
  <si>
    <t>Taxa de 16,62% dos subitens (A+...+E) + (A)</t>
  </si>
  <si>
    <t>Relatórios Mensais de Andamento do Programa de Gerenciamento Ambiental</t>
  </si>
  <si>
    <t>Valor Total (R$)</t>
  </si>
  <si>
    <t>PLANILHA DE ORÇAMENTO REFERENCIAL PARA GESTÃO AMBIENTAL</t>
  </si>
  <si>
    <t>Trecho 1:</t>
  </si>
  <si>
    <t>Subtrecho 1:</t>
  </si>
  <si>
    <t>Extensão 1:</t>
  </si>
  <si>
    <t>Segmento 1:</t>
  </si>
  <si>
    <t>Relatórios Semestrais</t>
  </si>
  <si>
    <t>Relatórios Finais</t>
  </si>
  <si>
    <t>Relatórios Específicos de Execução dos Programas Ambientais - Periodicidade Mensal</t>
  </si>
  <si>
    <t>Relatórios Específicos de Execução dos Programas Ambientais - Periodicidade Trimestral</t>
  </si>
  <si>
    <t>PROPOSTA DE PREÇOS A SER APRESENTADA PELA EMPRESA</t>
  </si>
  <si>
    <t>Relatórios Específicos de Execução dos Programas Ambientais - Periodicidade Bimestral</t>
  </si>
  <si>
    <t>Relatório Programa de Controle de Supressão</t>
  </si>
  <si>
    <t>Relatório Programa de Monitoramento de Fauna e Bioindicadores</t>
  </si>
  <si>
    <t>Relatório do Programa de Monitoramento e Controle do Atropelamento de Fauna</t>
  </si>
  <si>
    <t>Relatório Programa de Educação Ambiental destinado às Comunidades Lindeias e Empregados Diretos e Terceirizados do Empreendedor</t>
  </si>
  <si>
    <t>Relatório Programa de Comunicação Social par as populações do Entorno do Empreendimento</t>
  </si>
  <si>
    <t>5.1.</t>
  </si>
  <si>
    <t>Produtos Específicos -Elaboração de Plano</t>
  </si>
  <si>
    <t>Produtos Específicos - Elaboração de Estudos Ambientais</t>
  </si>
  <si>
    <t>6.1.</t>
  </si>
  <si>
    <t>ÍNDICE BASE</t>
  </si>
  <si>
    <t xml:space="preserve">7.1. </t>
  </si>
  <si>
    <t>Relatório Programa de Prospecção e Resgate Arqueológico - Subprograma de Monitoramento Arqueológico</t>
  </si>
  <si>
    <t>CRONOGRAMA FÍSICO-FINANCEIRO</t>
  </si>
  <si>
    <t>Diária</t>
  </si>
  <si>
    <t>Motorista</t>
  </si>
  <si>
    <t>PLANO AMBIENTAL DE CONSTRUÇÃO - PROGRAMA DE MONITORAMENTO E CONTROLE DA POLUIÇÃO ATMOSFÉRICA - CUSTO POR CAMPANHA</t>
  </si>
  <si>
    <t>Qtde</t>
  </si>
  <si>
    <t>"1/22"</t>
  </si>
  <si>
    <r>
      <rPr>
        <b/>
        <sz val="10"/>
        <rFont val="Spranq eco sans"/>
        <family val="2"/>
      </rPr>
      <t>a)</t>
    </r>
    <r>
      <rPr>
        <sz val="10"/>
        <rFont val="Spranq eco sans"/>
        <family val="2"/>
      </rPr>
      <t xml:space="preserve"> Período da Obra: 12 meses</t>
    </r>
  </si>
  <si>
    <r>
      <t>a)</t>
    </r>
    <r>
      <rPr>
        <sz val="10"/>
        <rFont val="Spranq eco sans"/>
        <family val="2"/>
      </rPr>
      <t xml:space="preserve"> Período da Obra: 12 meses.</t>
    </r>
  </si>
  <si>
    <t>D-DESPESAS GERAIS</t>
  </si>
  <si>
    <r>
      <rPr>
        <b/>
        <sz val="10"/>
        <rFont val="Spranq eco sans"/>
        <family val="2"/>
      </rPr>
      <t>b)</t>
    </r>
    <r>
      <rPr>
        <sz val="10"/>
        <rFont val="Spranq eco sans"/>
        <family val="2"/>
      </rPr>
      <t xml:space="preserve"> Nº de Campanhas:</t>
    </r>
    <r>
      <rPr>
        <sz val="10"/>
        <color indexed="8"/>
        <rFont val="Spranq eco sans"/>
        <family val="2"/>
      </rPr>
      <t xml:space="preserve">  06 com periodicidade bimestral, primeira campanha no primeiro mês.</t>
    </r>
  </si>
  <si>
    <t>Quant</t>
  </si>
  <si>
    <t>Valor Unit</t>
  </si>
  <si>
    <t>valor Total</t>
  </si>
  <si>
    <t>Programa de Gerenciamento de Riscos Ambientais</t>
  </si>
  <si>
    <t>Programa De Gerencimento de Resíduos Sólidos e Efluentes Líquidos</t>
  </si>
  <si>
    <t>Programa de Prevenção de Acidentes</t>
  </si>
  <si>
    <t>Plano de Ação de Emergência Direcionado ao Transporte de Produtos Perigosos</t>
  </si>
  <si>
    <t>Percentual (%)</t>
  </si>
  <si>
    <t>Percentual Acumulado (%)</t>
  </si>
  <si>
    <t>%</t>
  </si>
  <si>
    <t>valor mensal</t>
  </si>
  <si>
    <t>Porcentual Acumulado (%)</t>
  </si>
  <si>
    <t>Porcentual (%)</t>
  </si>
  <si>
    <t>X</t>
  </si>
  <si>
    <t>Elaboração de Projeto</t>
  </si>
  <si>
    <t>Projeto de Plantio Compensatório</t>
  </si>
  <si>
    <t>Estudos Florestais para Obtenção da Autorização de Supressão de Vegetação - ASV</t>
  </si>
  <si>
    <t>Engenheiro Florestal ou Agrônomo</t>
  </si>
  <si>
    <t>1- Cloreto (mg/L)</t>
  </si>
  <si>
    <t>2- Coliforme Fecal (NMP/100mL)</t>
  </si>
  <si>
    <t>3 - Coliforme Total (NMP/100mL)</t>
  </si>
  <si>
    <t>Preço unitário</t>
  </si>
  <si>
    <t>5 - Cor Aparente (mg/L)</t>
  </si>
  <si>
    <t>8 - Fenóis Totais (mg/L)</t>
  </si>
  <si>
    <r>
      <t>6 - Demanda Bioquímica de Oxigênio - DBO</t>
    </r>
    <r>
      <rPr>
        <b/>
        <sz val="5"/>
        <rFont val="Spranq eco sans"/>
      </rPr>
      <t>5</t>
    </r>
    <r>
      <rPr>
        <b/>
        <sz val="10"/>
        <rFont val="Spranq eco sans"/>
        <family val="2"/>
      </rPr>
      <t xml:space="preserve"> (mg/L)</t>
    </r>
  </si>
  <si>
    <t>7 - Demanda Química de Oxigênio - DQO (mg/L)</t>
  </si>
  <si>
    <r>
      <t>10 - Nitrato (N-NO</t>
    </r>
    <r>
      <rPr>
        <b/>
        <sz val="5"/>
        <rFont val="Spranq eco sans"/>
      </rPr>
      <t>3</t>
    </r>
    <r>
      <rPr>
        <b/>
        <sz val="10"/>
        <rFont val="Spranq eco sans"/>
        <family val="2"/>
      </rPr>
      <t>) (mg/L)</t>
    </r>
  </si>
  <si>
    <t>12 - Oxigênio Dissolvido - OD (mg/L)</t>
  </si>
  <si>
    <t>13 - Óleos e Graxas</t>
  </si>
  <si>
    <t>15 - Sólido Sedimentável (mg/L)</t>
  </si>
  <si>
    <t>16 - Sólido Total Dissolvido (mg/L)</t>
  </si>
  <si>
    <t>18 - Turbidez (NTU)</t>
  </si>
  <si>
    <t>4 - Condutividade Eletrolítica (µS/cm)</t>
  </si>
  <si>
    <t>17 - Temperatura (ºC)</t>
  </si>
  <si>
    <t>11 - Nitrogênio Amoniacal Total (mg/L)</t>
  </si>
  <si>
    <t>Parâmetros Físico-Químicos e Bacterológicos</t>
  </si>
  <si>
    <t xml:space="preserve">14 - Potencial Hidrogeniônico - PH 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</si>
  <si>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</si>
  <si>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</si>
  <si>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</si>
  <si>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</si>
  <si>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</si>
  <si>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</si>
  <si>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</si>
  <si>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</si>
  <si>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</si>
  <si>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9 - Fosfato Total (mg/L)</t>
  </si>
  <si>
    <t>PLANILHA DE CUSTO MÉDIO - ANÁLISE DA QUALIDADE DA ÁGUA</t>
  </si>
  <si>
    <t>Preço médio</t>
  </si>
  <si>
    <t>* Proposta Técnica Comercial em agosto de 2017</t>
  </si>
  <si>
    <t>Empresa: Agroanálise Laboratórios Integrados*</t>
  </si>
  <si>
    <t>Empresa: Hidro Análise*</t>
  </si>
  <si>
    <t>4.13</t>
  </si>
  <si>
    <t>Programa de Monitoramento de PRAD</t>
  </si>
  <si>
    <t>Empresa: Control Análise de Água e Projetos Ambientais*</t>
  </si>
  <si>
    <t>GESTÃO AMBIENTAL - BR-158/MT</t>
  </si>
  <si>
    <t>OBSERVAÇÕES CONSTANTES NO PBA</t>
  </si>
  <si>
    <r>
      <rPr>
        <b/>
        <sz val="10"/>
        <rFont val="Spranq eco sans"/>
        <family val="2"/>
      </rPr>
      <t>c)</t>
    </r>
    <r>
      <rPr>
        <sz val="10"/>
        <rFont val="Spranq eco sans"/>
        <family val="2"/>
      </rPr>
      <t xml:space="preserve"> Pontos de Coletas: 3 amostras em 10 pontos, totalizando 30 amostras.</t>
    </r>
  </si>
  <si>
    <r>
      <rPr>
        <b/>
        <sz val="10"/>
        <rFont val="Spranq eco sans"/>
      </rPr>
      <t>e)</t>
    </r>
    <r>
      <rPr>
        <sz val="10"/>
        <rFont val="Spranq eco sans"/>
        <family val="2"/>
      </rPr>
      <t xml:space="preserve"> Veículos:  01 Veículo Utilitário.</t>
    </r>
  </si>
  <si>
    <r>
      <rPr>
        <b/>
        <sz val="10"/>
        <rFont val="Spranq eco sans"/>
        <family val="2"/>
      </rPr>
      <t>d)</t>
    </r>
    <r>
      <rPr>
        <sz val="10"/>
        <rFont val="Spranq eco sans"/>
        <family val="2"/>
      </rPr>
      <t xml:space="preserve"> </t>
    </r>
    <r>
      <rPr>
        <u/>
        <sz val="10"/>
        <rFont val="Spranq eco sans"/>
        <family val="2"/>
      </rPr>
      <t>Parâmetros Físico/Químicos</t>
    </r>
    <r>
      <rPr>
        <sz val="10"/>
        <rFont val="Spranq eco sans"/>
        <family val="2"/>
      </rPr>
      <t>:  temperatura, turbidez, cobre, DBO, DQO, ferro total, fósforo total, Manganês, Mercúrio, Óleos e graxas, Oxigênio Dissolvido, pH, Série de Nitrogênio, Zinco, Coliformes, Comunidades Bentônicas  .</t>
    </r>
  </si>
  <si>
    <t>BR - 158/MT</t>
  </si>
  <si>
    <t>24 meses</t>
  </si>
  <si>
    <t>Trecho: Cuiabá - Brasília</t>
  </si>
  <si>
    <t>Trecho: Brasília - Cuiabá</t>
  </si>
  <si>
    <t>COTAÇÃO VIAGENS AÉREAS</t>
  </si>
  <si>
    <t xml:space="preserve">TRECHO </t>
  </si>
  <si>
    <t>TAXA</t>
  </si>
  <si>
    <t>Azul (Trecho: Brasília - Cuiabá)</t>
  </si>
  <si>
    <t>Latam (Trecho: Brasília - Cuiabá)</t>
  </si>
  <si>
    <t>Gol (Trecho: Brasília - Cuiabá)</t>
  </si>
  <si>
    <t>TARIFA MÉDIA</t>
  </si>
  <si>
    <t xml:space="preserve">IDA </t>
  </si>
  <si>
    <t>Azul (Trecho:Cuiabá - Brasília)</t>
  </si>
  <si>
    <t>Latam (Trecho:Cuiabá - Brasília)</t>
  </si>
  <si>
    <t>Gol (Trecho:Cuiabá - Brasília)</t>
  </si>
  <si>
    <t>Observações:</t>
  </si>
  <si>
    <t>Valor Unitário</t>
  </si>
  <si>
    <t>a) As cotações das viagens aéreas foram feitas no site das companhias no dia 18/08/2020</t>
  </si>
  <si>
    <t>b) O dia da cotação para o trecho Brasília - Cuiabá foi 08/09/2020, enquanto Cuiabá - Brasília foi 11/09/2020</t>
  </si>
  <si>
    <t>Equipamentos</t>
  </si>
  <si>
    <t>Médico - Clínico Geral</t>
  </si>
  <si>
    <t xml:space="preserve">Técnico de enfermagem </t>
  </si>
  <si>
    <t>Engenheiro Ambiental (Chefe de Equipe)</t>
  </si>
  <si>
    <t>Designer gráfico especializado em desenho industrial</t>
  </si>
  <si>
    <t>Engenheiro de Segurança especializado em controle de gases, ruídos e material particulado.</t>
  </si>
  <si>
    <t xml:space="preserve">Engenheiro sanitarista ou ambiental especialista em gestão de resíduos e efluentes.  </t>
  </si>
  <si>
    <t xml:space="preserve">Arquiteto ou engenheiro especialista em travessias urbanas </t>
  </si>
  <si>
    <t>AMBULÂNCIA</t>
  </si>
  <si>
    <t>Secretária</t>
  </si>
  <si>
    <t>Motoristas</t>
  </si>
  <si>
    <t>Coordenador</t>
  </si>
  <si>
    <t>Engenheiro de Segurança do Trabalho e com graduação em engenharia química</t>
  </si>
  <si>
    <t>Técnicos de Nível Médio (Meio Ambiente,
Químico ou Segurança do Trabalho)</t>
  </si>
  <si>
    <t>Coordenador Setorial</t>
  </si>
  <si>
    <t>Técnico de Nível Superior (Geógrafo,
Agrônomo, Geólogo, Eng. Ambiental)</t>
  </si>
  <si>
    <t>Biólogo especialista em ornitofauna</t>
  </si>
  <si>
    <t>Biólogo especialista em mastofauna</t>
  </si>
  <si>
    <t>Coordenador Geral - Biólogo</t>
  </si>
  <si>
    <t xml:space="preserve">Biólogo especialista em herpetofauna </t>
  </si>
  <si>
    <t>Auxiliares de Campo</t>
  </si>
  <si>
    <t>Coordenador especializado na área social ou educacional.</t>
  </si>
  <si>
    <t>Educador especializado em educação ambiental com experiência mínima de 2 anos.</t>
  </si>
  <si>
    <t>Comunicador social</t>
  </si>
  <si>
    <t>Técnico da área social</t>
  </si>
  <si>
    <t>Técnico em informática</t>
  </si>
  <si>
    <t>Coordenador Geral</t>
  </si>
  <si>
    <t>Arqueólogos Senior (titulação mínima de Mestre)</t>
  </si>
  <si>
    <t xml:space="preserve">Historiador </t>
  </si>
  <si>
    <t>Cientista Social</t>
  </si>
  <si>
    <t>Arqueologia Pública</t>
  </si>
  <si>
    <t>Coordenador Setorial (Escritório em Brasília)</t>
  </si>
  <si>
    <t>Coordenador Setorial (Escritório Regional)</t>
  </si>
  <si>
    <t>Coordenador da Supervisão Ambiental  (Escritório Regional)</t>
  </si>
  <si>
    <t>Supervisor Ambiental (Escritório Regional)</t>
  </si>
  <si>
    <t>Técnico Ambiental (Escritório Regional)</t>
  </si>
  <si>
    <t>Secretária (Escritório Brasília)</t>
  </si>
  <si>
    <t>Secretária (Escritório Regional)</t>
  </si>
  <si>
    <t xml:space="preserve">Analista de Sistemas (Escritório Brasília) </t>
  </si>
  <si>
    <t>DESPESAS DIVERSAS</t>
  </si>
  <si>
    <t>Unitário</t>
  </si>
  <si>
    <t>VIAGEM (PASSAGENS AÉREAS)</t>
  </si>
  <si>
    <t>REPROGRAFIA DE DOCUMENTOS</t>
  </si>
  <si>
    <t>DIÁRIAS HOTEL</t>
  </si>
  <si>
    <t>DIÁRIAS ALIMENTAÇÃO</t>
  </si>
  <si>
    <t xml:space="preserve">I - CUSTOS </t>
  </si>
  <si>
    <t>RODOVIA: BR-158/MT</t>
  </si>
  <si>
    <t>PROGRAMA AMBIENTAL PARA CONSTRUÇÃO</t>
  </si>
  <si>
    <t>PROGRAMA DE PREVENÇÃO E ATENDIMENTO A EMERGÊNCIAS PARA TRANSPORTE, ARMAZENAMENTO E USO DE PRODUTOS PERIGOSOS</t>
  </si>
  <si>
    <t>PROGRAMA DE MONITORAMENTO DE CORPOS HÍDRICOS - CUSTO POR CAMPANHA</t>
  </si>
  <si>
    <t>SUBPROGRAMA DE RESGATE BRANDO E MONITORAMENTO DA FAUNA</t>
  </si>
  <si>
    <t>SUBPROGRAMA DE CONTROLE DA SUPRESSÃO DE VEGETAÇÃO</t>
  </si>
  <si>
    <t>PROGRAMA DE COMUNICAÇÃO SOCIAL E EDUCAÇÃO AMBIENTAL</t>
  </si>
  <si>
    <t xml:space="preserve">MATERIAIS </t>
  </si>
  <si>
    <t>Arqueólogos Junior (graduados) para formação das equipes de campo e laboratório</t>
  </si>
  <si>
    <t>BR -158/MT</t>
  </si>
  <si>
    <t>Relatórios Mensais de Andamento do Programa de Gestão  Ambiental</t>
  </si>
  <si>
    <t>Produtos da Gestão Ambiental</t>
  </si>
  <si>
    <t xml:space="preserve">Relatório SUBPROGRAMA DE REASSEMTAMENTO </t>
  </si>
  <si>
    <t>2.1</t>
  </si>
  <si>
    <t>2.2</t>
  </si>
  <si>
    <t>Relatório  SUBPROGRAMA DE READEQUAÇÃO INFRAEST E NORMATIZAÇÃO DA FAIXA DE DOMÍNIO</t>
  </si>
  <si>
    <t>2.3</t>
  </si>
  <si>
    <t>Relatório PROGRAMA AMBIENTAL PARA CONSTRUÇÃO</t>
  </si>
  <si>
    <t>Técnicos de Nível Médio (químico, meio ambiente, hidrólogo)</t>
  </si>
  <si>
    <r>
      <rPr>
        <b/>
        <sz val="10"/>
        <rFont val="Spranq eco sans"/>
        <family val="2"/>
      </rPr>
      <t>b)</t>
    </r>
    <r>
      <rPr>
        <sz val="10"/>
        <rFont val="Spranq eco sans"/>
        <family val="2"/>
      </rPr>
      <t xml:space="preserve"> Nº Campanhas: 04. Trimestral. , sendo a</t>
    </r>
    <r>
      <rPr>
        <sz val="10"/>
        <color rgb="FFFF0000"/>
        <rFont val="Spranq eco sans"/>
      </rPr>
      <t xml:space="preserve"> </t>
    </r>
    <r>
      <rPr>
        <sz val="10"/>
        <rFont val="Spranq eco sans"/>
      </rPr>
      <t>1ª campanha realizada no</t>
    </r>
    <r>
      <rPr>
        <sz val="10"/>
        <color rgb="FFFF0000"/>
        <rFont val="Spranq eco sans"/>
      </rPr>
      <t xml:space="preserve"> </t>
    </r>
    <r>
      <rPr>
        <sz val="10"/>
        <rFont val="Spranq eco sans"/>
        <family val="2"/>
      </rPr>
      <t>1º mês</t>
    </r>
    <r>
      <rPr>
        <sz val="10"/>
        <rFont val="Spranq eco sans"/>
      </rPr>
      <t>, sendo cada campanha de 14 dias.</t>
    </r>
  </si>
  <si>
    <t>PROGRAMA DE PESQUISA, PROSPECÇÃO E RESGATE DE PATRIMÔNIO ARQUEOLÓGICO, HISTÓRICO E CULTURAL/CAMPANHA</t>
  </si>
  <si>
    <t>PROGRAMA DE COMUNICAÇÃO SOCIAL E EDUCAÇÃO AMBIENTAL/CAMPANHA</t>
  </si>
  <si>
    <t>(2)</t>
  </si>
  <si>
    <t>Valor Unitário R$</t>
  </si>
  <si>
    <t>(3) = (1*2)</t>
  </si>
  <si>
    <t>12 MESES</t>
  </si>
  <si>
    <t>IPCA Fev</t>
  </si>
  <si>
    <r>
      <rPr>
        <b/>
        <sz val="10"/>
        <rFont val="Spranq eco sans"/>
        <family val="2"/>
      </rPr>
      <t>a)</t>
    </r>
    <r>
      <rPr>
        <sz val="10"/>
        <rFont val="Spranq eco sans"/>
        <family val="2"/>
      </rPr>
      <t xml:space="preserve"> Período: 24 meses </t>
    </r>
  </si>
  <si>
    <t>TOTAL DO ITEM PRODUTOS DE EXECUÇÃO DOS PBAs</t>
  </si>
  <si>
    <t>1. PRODUTOS DE GESTÃO AMBIENTAL</t>
  </si>
  <si>
    <t xml:space="preserve">Prazo de Execução: </t>
  </si>
  <si>
    <t>Prazo de execução:</t>
  </si>
  <si>
    <t>Trecho Norte:</t>
  </si>
  <si>
    <t>89,8 km.</t>
  </si>
  <si>
    <t>213,5 km</t>
  </si>
  <si>
    <t>12 meses</t>
  </si>
  <si>
    <t>1.2 - PROGRAMA AMBIENTAL PARA CONSTRUÇÃO</t>
  </si>
  <si>
    <t>1.3 - PROG. PREV. ATEND. EMERGÊNCIAS TRANSP., ARMZ PROD. PERIG</t>
  </si>
  <si>
    <r>
      <t>b)</t>
    </r>
    <r>
      <rPr>
        <sz val="10"/>
        <rFont val="Spranq eco sans"/>
        <family val="2"/>
      </rPr>
      <t xml:space="preserve"> Nº Campanhas: 8 campanhas trimestrais, sendo cada campanha de 22 dias.</t>
    </r>
  </si>
  <si>
    <t>1. EXECUÇÃO DOS PBAS TRECHOS NORTE E SUL PARA OBTENÇÃO DAS LOs</t>
  </si>
  <si>
    <t xml:space="preserve">Código Engenharia Consultiva </t>
  </si>
  <si>
    <t>Categoria profissional</t>
  </si>
  <si>
    <t>Und</t>
  </si>
  <si>
    <t>Salário (R$)</t>
  </si>
  <si>
    <t>Encargos Sociais (%)</t>
  </si>
  <si>
    <t>Encargos Complementares</t>
  </si>
  <si>
    <t>Alimentação</t>
  </si>
  <si>
    <t>EPI</t>
  </si>
  <si>
    <t>Ferramenta</t>
  </si>
  <si>
    <t>Transporte</t>
  </si>
  <si>
    <t>Exame ocupacional</t>
  </si>
  <si>
    <t>Cesta Báscia</t>
  </si>
  <si>
    <t>Assistência Médica</t>
  </si>
  <si>
    <t>Seguro de Vida</t>
  </si>
  <si>
    <t>Encargos Totais</t>
  </si>
  <si>
    <t>Custo Total</t>
  </si>
  <si>
    <t>Encargos Adicionais</t>
  </si>
  <si>
    <t>P8053</t>
  </si>
  <si>
    <t>P8054</t>
  </si>
  <si>
    <t>P8055</t>
  </si>
  <si>
    <t>P8056</t>
  </si>
  <si>
    <t>P8057</t>
  </si>
  <si>
    <t>P8058</t>
  </si>
  <si>
    <t>P8059</t>
  </si>
  <si>
    <t>P8060</t>
  </si>
  <si>
    <t>P8061</t>
  </si>
  <si>
    <t>P8062</t>
  </si>
  <si>
    <t>P8063</t>
  </si>
  <si>
    <t>P8064</t>
  </si>
  <si>
    <t>P8065</t>
  </si>
  <si>
    <t>P8066</t>
  </si>
  <si>
    <t>P8067</t>
  </si>
  <si>
    <t>P8068</t>
  </si>
  <si>
    <t>P8069</t>
  </si>
  <si>
    <t>P8070</t>
  </si>
  <si>
    <t>P8080</t>
  </si>
  <si>
    <t>P8081</t>
  </si>
  <si>
    <t>P8082</t>
  </si>
  <si>
    <t>P8086</t>
  </si>
  <si>
    <t>P8087</t>
  </si>
  <si>
    <t>P8088</t>
  </si>
  <si>
    <t>P8092</t>
  </si>
  <si>
    <t>P8093</t>
  </si>
  <si>
    <t>P8094</t>
  </si>
  <si>
    <t>P8098</t>
  </si>
  <si>
    <t>P8102</t>
  </si>
  <si>
    <t>P8106</t>
  </si>
  <si>
    <t>P8107</t>
  </si>
  <si>
    <t>P8108</t>
  </si>
  <si>
    <t>Engenheiro agrimensor / Geógrafo sênior</t>
  </si>
  <si>
    <t>Engenheiro agrônomo júnior</t>
  </si>
  <si>
    <t>Engenheiro agrônomo pleno</t>
  </si>
  <si>
    <t>Engenheiro agrônomo sênior</t>
  </si>
  <si>
    <t>Engenheiro ambiental júnior</t>
  </si>
  <si>
    <t>Engenheiro ambiental pleno</t>
  </si>
  <si>
    <t>Engenheiro ambiental sênior</t>
  </si>
  <si>
    <t>Engenheiro consultor especial</t>
  </si>
  <si>
    <t>Engenheiro coordenador</t>
  </si>
  <si>
    <t>Engenheiro de pesca júnior</t>
  </si>
  <si>
    <t>Engenheiro de pesca pleno</t>
  </si>
  <si>
    <t>Engenheiro de pesca sênior</t>
  </si>
  <si>
    <t>Engenheiro de projetos júnior</t>
  </si>
  <si>
    <t>Engenheiro de projetos pleno</t>
  </si>
  <si>
    <t>Engenheiro de projetos sênior</t>
  </si>
  <si>
    <t>Engenheiro florestal júnior</t>
  </si>
  <si>
    <t>Engenheiro florestal pleno</t>
  </si>
  <si>
    <t>Engenheiro florestal sênior</t>
  </si>
  <si>
    <t>Geólogo júnior</t>
  </si>
  <si>
    <t>Geólogo pleno</t>
  </si>
  <si>
    <t>Geólogo sênior</t>
  </si>
  <si>
    <t>Historiador / Sociólogo júnior</t>
  </si>
  <si>
    <t>Historiador / Sociólogo pleno</t>
  </si>
  <si>
    <t>Historiador / Sociólogo sênior</t>
  </si>
  <si>
    <t>Jornalista júnior</t>
  </si>
  <si>
    <t>Jornalista pleno</t>
  </si>
  <si>
    <t>Jornalista sênior</t>
  </si>
  <si>
    <t>Laboratorista</t>
  </si>
  <si>
    <t>Médico veterinário</t>
  </si>
  <si>
    <t>Meteorologista júnior</t>
  </si>
  <si>
    <t>Meteorologista pleno</t>
  </si>
  <si>
    <t>Meteorologista sênior</t>
  </si>
  <si>
    <t>Encargos Sociais (R$)</t>
  </si>
  <si>
    <t>-</t>
  </si>
  <si>
    <t>P8001</t>
  </si>
  <si>
    <t>P8002</t>
  </si>
  <si>
    <t>P8003</t>
  </si>
  <si>
    <t>P8007</t>
  </si>
  <si>
    <t>P8008</t>
  </si>
  <si>
    <t>P8009</t>
  </si>
  <si>
    <t>P8013</t>
  </si>
  <si>
    <t>P8014</t>
  </si>
  <si>
    <t>P8015</t>
  </si>
  <si>
    <t>P8019</t>
  </si>
  <si>
    <t>P8020</t>
  </si>
  <si>
    <t>P8021</t>
  </si>
  <si>
    <t>P8025</t>
  </si>
  <si>
    <t>P8026</t>
  </si>
  <si>
    <t>P8027</t>
  </si>
  <si>
    <t>P8028</t>
  </si>
  <si>
    <t>P8032</t>
  </si>
  <si>
    <t>P8033</t>
  </si>
  <si>
    <t>P8034</t>
  </si>
  <si>
    <t>P8038</t>
  </si>
  <si>
    <t>P8040</t>
  </si>
  <si>
    <t>P8041</t>
  </si>
  <si>
    <t>P8042</t>
  </si>
  <si>
    <t>P8044</t>
  </si>
  <si>
    <t>P8045</t>
  </si>
  <si>
    <t>P8046</t>
  </si>
  <si>
    <t>P8047</t>
  </si>
  <si>
    <t>P8051</t>
  </si>
  <si>
    <t>P8052</t>
  </si>
  <si>
    <t>Advogado júnior</t>
  </si>
  <si>
    <t>Advogado pleno</t>
  </si>
  <si>
    <t>Advogado sênior</t>
  </si>
  <si>
    <t>Analista de desenvolvimento de sistemas júnior</t>
  </si>
  <si>
    <t>Analista de desenvolvimento de sistemas pleno</t>
  </si>
  <si>
    <t>Analista de desenvolvimento de sistemas sênior</t>
  </si>
  <si>
    <t>Arquiteto júnior</t>
  </si>
  <si>
    <t>Arquiteto pleno</t>
  </si>
  <si>
    <t>Arquiteto sênior</t>
  </si>
  <si>
    <t>Assistente social júnior</t>
  </si>
  <si>
    <t>Assistente social pleno</t>
  </si>
  <si>
    <t>Assistente social sênior</t>
  </si>
  <si>
    <t>Auxiliar</t>
  </si>
  <si>
    <t>Auxiliar administrativo</t>
  </si>
  <si>
    <t>Auxiliar de laboratório</t>
  </si>
  <si>
    <t>Auxiliar de topografia</t>
  </si>
  <si>
    <t>Biólogo júnior</t>
  </si>
  <si>
    <t>Biólogo pleno</t>
  </si>
  <si>
    <t>Biólogo sênior</t>
  </si>
  <si>
    <t>Chefe de escritório</t>
  </si>
  <si>
    <t>Contador júnior</t>
  </si>
  <si>
    <t>Contador pleno</t>
  </si>
  <si>
    <t>Contador sênior</t>
  </si>
  <si>
    <t>Coordenador ambiental</t>
  </si>
  <si>
    <t>Economista júnior</t>
  </si>
  <si>
    <t>Economista pleno</t>
  </si>
  <si>
    <t>Economista sênior</t>
  </si>
  <si>
    <t>Engenheiro agrimensor / Geógrafo júnior</t>
  </si>
  <si>
    <t>Engenheiro agrimensor / Geógrafo pleno</t>
  </si>
  <si>
    <t>P8112</t>
  </si>
  <si>
    <t>P8113</t>
  </si>
  <si>
    <t>P8117</t>
  </si>
  <si>
    <t>P8118</t>
  </si>
  <si>
    <t>P8119</t>
  </si>
  <si>
    <t>P8123</t>
  </si>
  <si>
    <t>P8124</t>
  </si>
  <si>
    <t>P8125</t>
  </si>
  <si>
    <t>P8129</t>
  </si>
  <si>
    <t>P8130</t>
  </si>
  <si>
    <t>P8131</t>
  </si>
  <si>
    <t>P8135</t>
  </si>
  <si>
    <t>P8139</t>
  </si>
  <si>
    <t>P8143</t>
  </si>
  <si>
    <t>P8147</t>
  </si>
  <si>
    <t>P8151</t>
  </si>
  <si>
    <t>P8155</t>
  </si>
  <si>
    <t>P8159</t>
  </si>
  <si>
    <t>P8163</t>
  </si>
  <si>
    <t>Motorista de caminhão</t>
  </si>
  <si>
    <t>Motorista de veículo leve</t>
  </si>
  <si>
    <t>Oceanógrafo júnior</t>
  </si>
  <si>
    <t>Oceanógrafo pleno</t>
  </si>
  <si>
    <t>Oceanógrafo sênior</t>
  </si>
  <si>
    <t>Pedagogo júnior</t>
  </si>
  <si>
    <t>Pedagogo pleno</t>
  </si>
  <si>
    <t>Pedagogo sênior</t>
  </si>
  <si>
    <t>Sondador</t>
  </si>
  <si>
    <t>Técnico ambiental</t>
  </si>
  <si>
    <t>Técnico de obras</t>
  </si>
  <si>
    <t>Técnico de segurança do trabalho</t>
  </si>
  <si>
    <t>Técnico em geoprocessamento</t>
  </si>
  <si>
    <t>Técnico em informática - programador</t>
  </si>
  <si>
    <t>Topógrafo</t>
  </si>
  <si>
    <t>Item</t>
  </si>
  <si>
    <t>Código Engenharia Consultiva</t>
  </si>
  <si>
    <t>Tipo</t>
  </si>
  <si>
    <t>Custo horário (R$)</t>
  </si>
  <si>
    <t>Operativo</t>
  </si>
  <si>
    <t>Improdutivo</t>
  </si>
  <si>
    <t>E8889</t>
  </si>
  <si>
    <t>E8891</t>
  </si>
  <si>
    <t>E8887</t>
  </si>
  <si>
    <t>Veículo leve - tipo hatch - (sem motorista)</t>
  </si>
  <si>
    <t>Veículo leve - tipo pick up 4 x 4 - (sem motorista)</t>
  </si>
  <si>
    <t>Veículo van - tipo furgão - (com motorista)</t>
  </si>
  <si>
    <t>hora</t>
  </si>
  <si>
    <t>Custos</t>
  </si>
  <si>
    <t>Imóveis</t>
  </si>
  <si>
    <t>Mobiliário</t>
  </si>
  <si>
    <t>B8951</t>
  </si>
  <si>
    <t>B8952</t>
  </si>
  <si>
    <t>B8953</t>
  </si>
  <si>
    <t>B8954</t>
  </si>
  <si>
    <t>B8955</t>
  </si>
  <si>
    <t>B8956</t>
  </si>
  <si>
    <t>B8957</t>
  </si>
  <si>
    <t>B8958</t>
  </si>
  <si>
    <t>B8959</t>
  </si>
  <si>
    <t>B8960</t>
  </si>
  <si>
    <t>Comercial (2,32% do C.M.C.C - SINAPI)</t>
  </si>
  <si>
    <t>Residencial (1,27% do C.M.C.C. - SINAPI)</t>
  </si>
  <si>
    <t>Escritório</t>
  </si>
  <si>
    <t>Residência</t>
  </si>
  <si>
    <t>Laboratório de asfalto</t>
  </si>
  <si>
    <t>Laboratório de concreto</t>
  </si>
  <si>
    <t>Laboratório de solos</t>
  </si>
  <si>
    <t>Topografia</t>
  </si>
  <si>
    <t>R$/m² x mês</t>
  </si>
  <si>
    <t>R$ x ocupante/mês</t>
  </si>
  <si>
    <t>R$/mês</t>
  </si>
  <si>
    <t>Cesta das instalações</t>
  </si>
  <si>
    <t>Custos diversos</t>
  </si>
  <si>
    <t>Classificação do Cargo/Emprego/Função</t>
  </si>
  <si>
    <t>Deslocamentos
para Brasília/
Manaus/Rio de Janeiro</t>
  </si>
  <si>
    <t>Deslocamentos para Belo Horizonte/Fortaleza
/Porto Alegre/ Recife/Salvador/ São Paulo</t>
  </si>
  <si>
    <t>Deslocamentos para outras
capitais de Estados</t>
  </si>
  <si>
    <t>Demais deslocamentos</t>
  </si>
  <si>
    <t>F) FG-1, FG-2, FG-3; GR;
FST-1, FST-2, FST-3 do
BACEN; FDO-1, FCA-4, FCA-
5 do BACEN; FCT8, FCT9,
FCT10, FCT11, FCT12,
FCT13, FCT14, FCT15;
cargos de nível intermediário
e auxiliar</t>
  </si>
  <si>
    <t>Cód. Eng. Consultiva</t>
  </si>
  <si>
    <t>Auxiliar (Escritório Regional)</t>
  </si>
  <si>
    <t>Auxiliar (Escritório Brasília)</t>
  </si>
  <si>
    <t>Coordenador Ambiental (Escritório em Brasília)</t>
  </si>
  <si>
    <t>Engenheiro Ambiental Pleno (Escritório em Brasília)</t>
  </si>
  <si>
    <t>Qtd</t>
  </si>
  <si>
    <t>(%)</t>
  </si>
  <si>
    <t>Horas</t>
  </si>
  <si>
    <t>Administração Central</t>
  </si>
  <si>
    <t>Despesas Financeiras</t>
  </si>
  <si>
    <t>Riscos</t>
  </si>
  <si>
    <t>Garantias Contratuais</t>
  </si>
  <si>
    <t>TOTAL DO ITEM I - CUSTOS DIRETOS (A1+...+D1)</t>
  </si>
  <si>
    <t>SUBTOTAL ITEM A1</t>
  </si>
  <si>
    <t>SUBTOTAL ITEM B1</t>
  </si>
  <si>
    <t>SUBTOTAL ITEM C1</t>
  </si>
  <si>
    <t>SUBTOTAL D1</t>
  </si>
  <si>
    <t>SUBTOTAL ITEM A2</t>
  </si>
  <si>
    <t>A2 - DESPESAS INDIRETAS</t>
  </si>
  <si>
    <t>A1 - EQUIPE TÉCNICA</t>
  </si>
  <si>
    <t>B1 - ENCARGOS TOTAIS</t>
  </si>
  <si>
    <t xml:space="preserve">C1 - TRANSPORTE AÉREO </t>
  </si>
  <si>
    <t>D1 - DESPESAS GERAIS</t>
  </si>
  <si>
    <t>B2 - LUCRO OPERACIONAL</t>
  </si>
  <si>
    <t>C2 - DESPESAS FISCAIS</t>
  </si>
  <si>
    <t>PIS</t>
  </si>
  <si>
    <t>COFINS</t>
  </si>
  <si>
    <t>ISSQN*</t>
  </si>
  <si>
    <t>Cód.</t>
  </si>
  <si>
    <t>Paleontólogo / Arqueólogo / Antropólogo Junior</t>
  </si>
  <si>
    <t>Paleontólogo / Arqueólogo / Antropólogo Pleno</t>
  </si>
  <si>
    <t>Paleontólogo / Arqueólogo / Antropólogo Sênior</t>
  </si>
  <si>
    <t>Técnico Ambiental</t>
  </si>
  <si>
    <t>Engenheiro de Segurança</t>
  </si>
  <si>
    <t>Designer gráfico</t>
  </si>
  <si>
    <t>Médico</t>
  </si>
  <si>
    <t>Arquiteto</t>
  </si>
  <si>
    <t>Engenheiro Ambiental Senior</t>
  </si>
  <si>
    <t>Engenheiro Ambiental Pleno</t>
  </si>
  <si>
    <t>A1 - EQUIPE</t>
  </si>
  <si>
    <t>C1 - DESPESAS GERAIS</t>
  </si>
  <si>
    <t>Veículo leve - tipo hatch</t>
  </si>
  <si>
    <t>Taxa de 12,00% dos subitens (A1+...+C1)</t>
  </si>
  <si>
    <t>Técnico</t>
  </si>
  <si>
    <t>SUBTOTAL ITEM D1</t>
  </si>
  <si>
    <t>D1 - SERVIÇOS DE COMUNICAÇÃO</t>
  </si>
  <si>
    <t>PLANO BÁSICO AMBIENTAL - BR-158/MT TRECHOS NORTE E SUL</t>
  </si>
  <si>
    <t>EXTENSÃO: 303,3 KM</t>
  </si>
  <si>
    <t>303,3 km</t>
  </si>
  <si>
    <t>Trecho Sul:</t>
  </si>
  <si>
    <t>PRODUTOS DE EXECUÇÃO DOS PBAs NORTE e SUL</t>
  </si>
  <si>
    <t>4 Relatórios referentes referentes a execução do Programa de Prevenção e Atendimento a Emergências para Transporte, Armazenamento e Uso de Produtos Perigosos - PPEPP</t>
  </si>
  <si>
    <t>RELATÓRIO DE ASSESSORAMENTO TÉCNICO E OBTENÇÃO DAS LOs</t>
  </si>
  <si>
    <t>Coordenador Ambiental (Geral)</t>
  </si>
  <si>
    <t>Coordenador Ambiental (Meio Físico)</t>
  </si>
  <si>
    <t>Coordenador Ambiental (Meio Biótico)</t>
  </si>
  <si>
    <t>Coordenador Ambiental (Meio socioeconômico)</t>
  </si>
  <si>
    <t>1 Relatório de Assessoramento Técnico e obteção das LOs</t>
  </si>
  <si>
    <t>1.1 - PROGRAMA DE GESTÃO E CONTROLE AMBIENTAL</t>
  </si>
  <si>
    <r>
      <rPr>
        <b/>
        <sz val="10"/>
        <color indexed="8"/>
        <rFont val="Spranq eco sans"/>
        <family val="2"/>
      </rPr>
      <t>b)</t>
    </r>
    <r>
      <rPr>
        <sz val="10"/>
        <color indexed="8"/>
        <rFont val="Spranq eco sans"/>
        <family val="2"/>
      </rPr>
      <t xml:space="preserve"> Nº de Campanhas:  2 campanhas semestrais, sendo cada campanha de 22 dias.</t>
    </r>
  </si>
  <si>
    <t>1.4  -  PROGRAMA DE MONITORAMENTO DE CORPOS HÍDRICOS</t>
  </si>
  <si>
    <t>1.5  - PROGRAMA DE PROTEÇÃO À FAUNA E FLORA</t>
  </si>
  <si>
    <t xml:space="preserve">       1.5.1. SUB RESGATE BRANDO E MONITORAMENTO DA FAUNA</t>
  </si>
  <si>
    <t xml:space="preserve">       1.5.2. SUB CONTROLE DA SUPRESSÃO DE VEGETAÇÃO</t>
  </si>
  <si>
    <t>SUBTOTAL ITEM 1.1</t>
  </si>
  <si>
    <t>SUBTOTAL ITEM 1.2</t>
  </si>
  <si>
    <t>SUBTOTAL ITEM 1.3</t>
  </si>
  <si>
    <t>SUBTOTAL ITEM 1.4</t>
  </si>
  <si>
    <t>SUBTOTAL ITEM 1.5</t>
  </si>
  <si>
    <t>SUBTOTAL ITEM 1.6</t>
  </si>
  <si>
    <t>SUBTOTAL ITEM 1.7</t>
  </si>
  <si>
    <t>1.6  - PROGRAMA DE COMUNICAÇÃO SOCIAL E EDUCAÇÃO AMBIENTAL</t>
  </si>
  <si>
    <t>1.7 - PROG PESQ, PROSPEC RESG PATRIM ARQUEOL, HIST CULT</t>
  </si>
  <si>
    <t>1.8 - RELATÓRIO DE ASSESSORAMENTO TÉCNICO E OBTENÇÃO DAS LOs</t>
  </si>
  <si>
    <t>SUBTOTAL ITEM 1.8</t>
  </si>
  <si>
    <r>
      <t>a)</t>
    </r>
    <r>
      <rPr>
        <sz val="10"/>
        <rFont val="Spranq eco sans"/>
        <family val="2"/>
      </rPr>
      <t xml:space="preserve"> O período de execução: 24 meses</t>
    </r>
  </si>
  <si>
    <t xml:space="preserve">4 Relatórios  referentes a execução do Programa de Comunicação Social e Educação Ambiental </t>
  </si>
  <si>
    <t>24 Relatórios referentes a execução do Programa de Gestão e Controle Ambiental - PGCA</t>
  </si>
  <si>
    <t>12 Relatórios referentes a execução do Programa ambiental para Construção - PAC</t>
  </si>
  <si>
    <t>4 Relatórios referentes a execução do Programa de Monitoramento de Corpos Hídricos - PMCH</t>
  </si>
  <si>
    <t>12 Relatórios referentes a execução do Programa de Proteção à Fauna e Flora</t>
  </si>
  <si>
    <t>12 Relatórios referentes a execução do Programa  de Pesquisa, Prospecção e Resgate de Patrimônio Arqueológico, Histórico e Cultural.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</si>
</sst>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_);_(* \(#,##0.000\);_(* &quot;-&quot;??_);_(@_)"/>
    <numFmt numFmtId="167" formatCode="_(* #,##0.00000_);_(* \(#,##0.00000\);_(* &quot;-&quot;??_);_(@_)"/>
    <numFmt numFmtId="168" formatCode="0.000"/>
    <numFmt numFmtId="169" formatCode="0.00000"/>
    <numFmt numFmtId="170" formatCode="_(* #,##0.00000000_);_(* \(#,##0.00000000\);_(* &quot;-&quot;??_);_(@_)"/>
    <numFmt numFmtId="171" formatCode="mmmm\-yy"/>
    <numFmt numFmtId="172" formatCode="[$-416]mmmm\-yy;@"/>
    <numFmt numFmtId="173" formatCode="&quot;R$ &quot;#,##0.00;[Red]&quot;R$ &quot;#,##0.00"/>
    <numFmt numFmtId="174" formatCode="#,##0.00;[Red]#,##0.00"/>
    <numFmt numFmtId="175" formatCode="0_);\(0\)"/>
    <numFmt numFmtId="176" formatCode="&quot;R$&quot;\ #,##0.00;[Red]&quot;R$&quot;\ #,##0.00"/>
    <numFmt numFmtId="177" formatCode="&quot;R$&quot;\ #,##0.00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Spranq eco sans"/>
      <family val="2"/>
    </font>
    <font>
      <sz val="14"/>
      <name val="Spranq eco sans"/>
      <family val="2"/>
    </font>
    <font>
      <sz val="9"/>
      <name val="Spranq eco sans"/>
      <family val="2"/>
    </font>
    <font>
      <b/>
      <sz val="9"/>
      <name val="Spranq eco sans"/>
      <family val="2"/>
    </font>
    <font>
      <sz val="8"/>
      <name val="Spranq eco sans"/>
      <family val="2"/>
    </font>
    <font>
      <b/>
      <sz val="10"/>
      <name val="Spranq eco sans"/>
      <family val="2"/>
    </font>
    <font>
      <sz val="10"/>
      <color indexed="10"/>
      <name val="Spranq eco sans"/>
      <family val="2"/>
    </font>
    <font>
      <sz val="10"/>
      <color indexed="8"/>
      <name val="Spranq eco sans"/>
      <family val="2"/>
    </font>
    <font>
      <b/>
      <sz val="10"/>
      <color indexed="10"/>
      <name val="Spranq eco sans"/>
      <family val="2"/>
    </font>
    <font>
      <u/>
      <sz val="10"/>
      <name val="Spranq eco sans"/>
      <family val="2"/>
    </font>
    <font>
      <sz val="6"/>
      <name val="Arial"/>
      <family val="2"/>
    </font>
    <font>
      <sz val="10"/>
      <color indexed="8"/>
      <name val="Arial"/>
      <family val="2"/>
    </font>
    <font>
      <sz val="5.5"/>
      <name val="Arial"/>
      <family val="2"/>
    </font>
    <font>
      <b/>
      <sz val="10"/>
      <color indexed="8"/>
      <name val="Spranq eco sans"/>
      <family val="2"/>
    </font>
    <font>
      <b/>
      <sz val="20"/>
      <name val="Arial"/>
      <family val="2"/>
    </font>
    <font>
      <sz val="10"/>
      <color indexed="8"/>
      <name val="Spranq eco sans"/>
      <family val="2"/>
    </font>
    <font>
      <sz val="8"/>
      <name val="Arial"/>
      <family val="2"/>
    </font>
    <font>
      <b/>
      <sz val="11"/>
      <name val="Spranq eco sans"/>
      <family val="2"/>
    </font>
    <font>
      <sz val="9"/>
      <name val="Symbol"/>
      <family val="1"/>
      <charset val="2"/>
    </font>
    <font>
      <b/>
      <sz val="10.5"/>
      <name val="Spranq eco sans"/>
      <family val="2"/>
    </font>
    <font>
      <sz val="11"/>
      <name val="Spranq eco sans"/>
      <family val="2"/>
    </font>
    <font>
      <sz val="10"/>
      <name val="Arial"/>
      <family val="2"/>
    </font>
    <font>
      <sz val="10"/>
      <name val="Spranq eco sans"/>
    </font>
    <font>
      <b/>
      <sz val="10"/>
      <name val="Spranq eco sans"/>
    </font>
    <font>
      <sz val="10"/>
      <color theme="1"/>
      <name val="Spranq eco sans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FF0000"/>
      <name val="Spranq eco sans"/>
    </font>
    <font>
      <sz val="10"/>
      <color rgb="FFFF0000"/>
      <name val="Spranq eco sans"/>
      <family val="2"/>
    </font>
    <font>
      <b/>
      <sz val="10"/>
      <color rgb="FFFF0000"/>
      <name val="Spranq eco sans"/>
      <family val="2"/>
    </font>
    <font>
      <b/>
      <sz val="10"/>
      <color rgb="FF0070C0"/>
      <name val="Arial"/>
      <family val="2"/>
    </font>
    <font>
      <sz val="11"/>
      <name val="Calibri"/>
      <family val="2"/>
    </font>
    <font>
      <b/>
      <sz val="5"/>
      <name val="Spranq eco sans"/>
    </font>
    <font>
      <sz val="7"/>
      <name val="Arial"/>
      <family val="2"/>
    </font>
    <font>
      <sz val="10"/>
      <color rgb="FFFF3300"/>
      <name val="Spranq eco sans"/>
      <family val="2"/>
    </font>
    <font>
      <b/>
      <sz val="10"/>
      <color rgb="FFFF3300"/>
      <name val="Spranq eco sans"/>
      <family val="2"/>
    </font>
    <font>
      <sz val="10"/>
      <color rgb="FFFF3300"/>
      <name val="Arial"/>
      <family val="2"/>
    </font>
    <font>
      <b/>
      <sz val="10"/>
      <color rgb="FF0000FF"/>
      <name val="Spranq eco sans"/>
      <family val="2"/>
    </font>
    <font>
      <b/>
      <sz val="10"/>
      <color theme="1"/>
      <name val="Arial"/>
      <family val="2"/>
    </font>
    <font>
      <sz val="10"/>
      <color rgb="FF000000"/>
      <name val="Verdana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-0.249977111117893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Dashed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 style="mediumDash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</borders>
  <cellStyleXfs count="58">
    <xf numFmtId="0" fontId="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3" fillId="0" borderId="0" xfId="0" applyFont="1"/>
    <xf numFmtId="9" fontId="0" fillId="0" borderId="0" xfId="0" applyNumberFormat="1" applyAlignment="1">
      <alignment horizontal="center"/>
    </xf>
    <xf numFmtId="165" fontId="0" fillId="0" borderId="0" xfId="15" applyFont="1"/>
    <xf numFmtId="0" fontId="0" fillId="0" borderId="0" xfId="0" applyFill="1"/>
    <xf numFmtId="165" fontId="0" fillId="0" borderId="0" xfId="0" applyNumberFormat="1"/>
    <xf numFmtId="0" fontId="8" fillId="0" borderId="0" xfId="0" applyFont="1"/>
    <xf numFmtId="165" fontId="8" fillId="0" borderId="0" xfId="15" applyFont="1" applyAlignment="1">
      <alignment vertical="center"/>
    </xf>
    <xf numFmtId="165" fontId="10" fillId="2" borderId="3" xfId="15" applyFont="1" applyFill="1" applyBorder="1" applyAlignment="1">
      <alignment horizontal="center" vertical="center"/>
    </xf>
    <xf numFmtId="165" fontId="11" fillId="2" borderId="4" xfId="15" applyFont="1" applyFill="1" applyBorder="1" applyAlignment="1">
      <alignment horizontal="center" vertical="center"/>
    </xf>
    <xf numFmtId="165" fontId="10" fillId="0" borderId="0" xfId="15" applyFont="1" applyAlignment="1">
      <alignment horizontal="center" vertical="center"/>
    </xf>
    <xf numFmtId="165" fontId="10" fillId="2" borderId="5" xfId="15" applyFont="1" applyFill="1" applyBorder="1" applyAlignment="1">
      <alignment horizontal="center" vertical="center"/>
    </xf>
    <xf numFmtId="165" fontId="11" fillId="2" borderId="6" xfId="15" applyFont="1" applyFill="1" applyBorder="1" applyAlignment="1">
      <alignment horizontal="center" vertical="center"/>
    </xf>
    <xf numFmtId="17" fontId="11" fillId="2" borderId="6" xfId="15" applyNumberFormat="1" applyFont="1" applyFill="1" applyBorder="1" applyAlignment="1">
      <alignment horizontal="center" vertical="center"/>
    </xf>
    <xf numFmtId="17" fontId="11" fillId="2" borderId="8" xfId="15" applyNumberFormat="1" applyFont="1" applyFill="1" applyBorder="1" applyAlignment="1">
      <alignment horizontal="center" vertical="center"/>
    </xf>
    <xf numFmtId="165" fontId="11" fillId="2" borderId="5" xfId="15" applyFont="1" applyFill="1" applyBorder="1" applyAlignment="1">
      <alignment horizontal="center" vertical="center"/>
    </xf>
    <xf numFmtId="165" fontId="10" fillId="2" borderId="9" xfId="15" applyFont="1" applyFill="1" applyBorder="1" applyAlignment="1">
      <alignment horizontal="center" vertical="center"/>
    </xf>
    <xf numFmtId="165" fontId="11" fillId="2" borderId="7" xfId="15" applyFont="1" applyFill="1" applyBorder="1" applyAlignment="1">
      <alignment horizontal="center" vertical="center"/>
    </xf>
    <xf numFmtId="168" fontId="11" fillId="2" borderId="7" xfId="15" applyNumberFormat="1" applyFont="1" applyFill="1" applyBorder="1" applyAlignment="1">
      <alignment horizontal="center" vertical="center"/>
    </xf>
    <xf numFmtId="166" fontId="11" fillId="2" borderId="7" xfId="15" applyNumberFormat="1" applyFont="1" applyFill="1" applyBorder="1" applyAlignment="1">
      <alignment horizontal="center" vertical="center"/>
    </xf>
    <xf numFmtId="166" fontId="11" fillId="2" borderId="10" xfId="15" applyNumberFormat="1" applyFont="1" applyFill="1" applyBorder="1" applyAlignment="1">
      <alignment horizontal="center" vertical="center"/>
    </xf>
    <xf numFmtId="165" fontId="11" fillId="2" borderId="9" xfId="15" applyFont="1" applyFill="1" applyBorder="1" applyAlignment="1">
      <alignment horizontal="center" vertical="center"/>
    </xf>
    <xf numFmtId="165" fontId="10" fillId="2" borderId="11" xfId="15" applyFont="1" applyFill="1" applyBorder="1" applyAlignment="1">
      <alignment horizontal="center" vertical="center"/>
    </xf>
    <xf numFmtId="165" fontId="11" fillId="2" borderId="12" xfId="15" applyFont="1" applyFill="1" applyBorder="1" applyAlignment="1">
      <alignment horizontal="center" vertical="center"/>
    </xf>
    <xf numFmtId="168" fontId="11" fillId="2" borderId="12" xfId="15" applyNumberFormat="1" applyFont="1" applyFill="1" applyBorder="1" applyAlignment="1">
      <alignment horizontal="center" vertical="center"/>
    </xf>
    <xf numFmtId="169" fontId="11" fillId="2" borderId="12" xfId="15" applyNumberFormat="1" applyFont="1" applyFill="1" applyBorder="1" applyAlignment="1">
      <alignment horizontal="center" vertical="center"/>
    </xf>
    <xf numFmtId="170" fontId="11" fillId="2" borderId="13" xfId="15" applyNumberFormat="1" applyFont="1" applyFill="1" applyBorder="1" applyAlignment="1">
      <alignment horizontal="center" vertical="center"/>
    </xf>
    <xf numFmtId="165" fontId="11" fillId="2" borderId="11" xfId="15" applyFont="1" applyFill="1" applyBorder="1" applyAlignment="1">
      <alignment horizontal="center" vertical="center"/>
    </xf>
    <xf numFmtId="2" fontId="11" fillId="2" borderId="12" xfId="15" applyNumberFormat="1" applyFont="1" applyFill="1" applyBorder="1" applyAlignment="1">
      <alignment horizontal="center" vertical="center"/>
    </xf>
    <xf numFmtId="167" fontId="11" fillId="2" borderId="12" xfId="15" applyNumberFormat="1" applyFont="1" applyFill="1" applyBorder="1" applyAlignment="1">
      <alignment horizontal="center" vertical="center"/>
    </xf>
    <xf numFmtId="167" fontId="11" fillId="2" borderId="13" xfId="15" applyNumberFormat="1" applyFont="1" applyFill="1" applyBorder="1" applyAlignment="1">
      <alignment horizontal="center" vertical="center"/>
    </xf>
    <xf numFmtId="165" fontId="10" fillId="0" borderId="14" xfId="15" applyFont="1" applyBorder="1" applyAlignment="1">
      <alignment horizontal="center" vertical="center"/>
    </xf>
    <xf numFmtId="165" fontId="10" fillId="0" borderId="15" xfId="15" applyFont="1" applyBorder="1" applyAlignment="1">
      <alignment horizontal="center" vertical="center"/>
    </xf>
    <xf numFmtId="165" fontId="10" fillId="0" borderId="16" xfId="15" applyFont="1" applyBorder="1" applyAlignment="1">
      <alignment horizontal="center" vertical="center"/>
    </xf>
    <xf numFmtId="165" fontId="10" fillId="0" borderId="7" xfId="15" applyFont="1" applyBorder="1" applyAlignment="1">
      <alignment horizontal="center" vertical="center"/>
    </xf>
    <xf numFmtId="165" fontId="10" fillId="0" borderId="7" xfId="15" applyFont="1" applyBorder="1" applyAlignment="1">
      <alignment vertical="center"/>
    </xf>
    <xf numFmtId="165" fontId="10" fillId="0" borderId="10" xfId="15" applyFont="1" applyBorder="1" applyAlignment="1">
      <alignment vertical="center"/>
    </xf>
    <xf numFmtId="165" fontId="10" fillId="0" borderId="0" xfId="15" applyFont="1" applyAlignment="1">
      <alignment vertical="center"/>
    </xf>
    <xf numFmtId="165" fontId="10" fillId="0" borderId="9" xfId="15" applyFont="1" applyBorder="1" applyAlignment="1">
      <alignment horizontal="left" vertical="center"/>
    </xf>
    <xf numFmtId="165" fontId="10" fillId="3" borderId="7" xfId="15" applyFont="1" applyFill="1" applyBorder="1" applyAlignment="1">
      <alignment horizontal="left" vertical="center"/>
    </xf>
    <xf numFmtId="165" fontId="10" fillId="0" borderId="17" xfId="15" applyFont="1" applyBorder="1" applyAlignment="1">
      <alignment horizontal="left" vertical="center"/>
    </xf>
    <xf numFmtId="165" fontId="10" fillId="3" borderId="18" xfId="15" applyFont="1" applyFill="1" applyBorder="1" applyAlignment="1">
      <alignment horizontal="left" vertical="center"/>
    </xf>
    <xf numFmtId="165" fontId="10" fillId="0" borderId="11" xfId="15" applyFont="1" applyBorder="1" applyAlignment="1">
      <alignment horizontal="left" vertical="center"/>
    </xf>
    <xf numFmtId="165" fontId="10" fillId="3" borderId="12" xfId="15" applyFont="1" applyFill="1" applyBorder="1" applyAlignment="1">
      <alignment horizontal="left" vertical="center"/>
    </xf>
    <xf numFmtId="165" fontId="10" fillId="0" borderId="12" xfId="15" applyFont="1" applyBorder="1" applyAlignment="1">
      <alignment vertical="center"/>
    </xf>
    <xf numFmtId="165" fontId="10" fillId="0" borderId="13" xfId="15" applyFont="1" applyBorder="1" applyAlignment="1">
      <alignment vertical="center"/>
    </xf>
    <xf numFmtId="165" fontId="10" fillId="0" borderId="5" xfId="15" applyFont="1" applyBorder="1" applyAlignment="1">
      <alignment horizontal="center" vertical="center"/>
    </xf>
    <xf numFmtId="165" fontId="10" fillId="0" borderId="6" xfId="15" applyFont="1" applyBorder="1" applyAlignment="1">
      <alignment horizontal="center" vertical="center"/>
    </xf>
    <xf numFmtId="165" fontId="10" fillId="0" borderId="8" xfId="15" applyFont="1" applyBorder="1" applyAlignment="1">
      <alignment horizontal="center" vertical="center"/>
    </xf>
    <xf numFmtId="165" fontId="10" fillId="0" borderId="9" xfId="15" applyFont="1" applyBorder="1" applyAlignment="1">
      <alignment vertical="center"/>
    </xf>
    <xf numFmtId="165" fontId="10" fillId="3" borderId="7" xfId="15" applyFont="1" applyFill="1" applyBorder="1" applyAlignment="1">
      <alignment vertical="center"/>
    </xf>
    <xf numFmtId="165" fontId="10" fillId="0" borderId="9" xfId="15" applyFont="1" applyBorder="1" applyAlignment="1">
      <alignment vertical="center" wrapText="1"/>
    </xf>
    <xf numFmtId="165" fontId="10" fillId="0" borderId="11" xfId="15" applyFont="1" applyBorder="1" applyAlignment="1">
      <alignment vertical="center"/>
    </xf>
    <xf numFmtId="165" fontId="10" fillId="3" borderId="12" xfId="15" applyFont="1" applyFill="1" applyBorder="1" applyAlignment="1">
      <alignment vertical="center"/>
    </xf>
    <xf numFmtId="165" fontId="11" fillId="0" borderId="0" xfId="15" applyFont="1" applyFill="1" applyBorder="1" applyAlignment="1">
      <alignment vertical="center"/>
    </xf>
    <xf numFmtId="165" fontId="10" fillId="0" borderId="0" xfId="15" applyFont="1" applyFill="1" applyBorder="1" applyAlignment="1">
      <alignment horizontal="center" vertical="center"/>
    </xf>
    <xf numFmtId="0" fontId="12" fillId="0" borderId="0" xfId="0" applyFont="1" applyBorder="1"/>
    <xf numFmtId="165" fontId="10" fillId="0" borderId="0" xfId="15" applyFont="1" applyBorder="1" applyAlignment="1">
      <alignment vertical="center"/>
    </xf>
    <xf numFmtId="4" fontId="12" fillId="0" borderId="0" xfId="0" applyNumberFormat="1" applyFont="1" applyFill="1" applyBorder="1" applyAlignment="1">
      <alignment horizontal="right" vertical="center"/>
    </xf>
    <xf numFmtId="4" fontId="12" fillId="3" borderId="7" xfId="15" applyNumberFormat="1" applyFont="1" applyFill="1" applyBorder="1" applyAlignment="1">
      <alignment horizontal="right" vertical="center"/>
    </xf>
    <xf numFmtId="0" fontId="12" fillId="3" borderId="12" xfId="0" applyFont="1" applyFill="1" applyBorder="1" applyAlignment="1">
      <alignment horizontal="right" vertical="center"/>
    </xf>
    <xf numFmtId="165" fontId="8" fillId="0" borderId="7" xfId="15" applyFont="1" applyBorder="1" applyAlignment="1">
      <alignment horizontal="center" vertical="center"/>
    </xf>
    <xf numFmtId="0" fontId="8" fillId="0" borderId="9" xfId="0" applyFont="1" applyBorder="1"/>
    <xf numFmtId="165" fontId="8" fillId="0" borderId="7" xfId="15" applyFont="1" applyBorder="1" applyAlignment="1">
      <alignment vertical="center"/>
    </xf>
    <xf numFmtId="175" fontId="8" fillId="0" borderId="0" xfId="15" applyNumberFormat="1" applyFont="1" applyAlignment="1">
      <alignment horizontal="right" vertical="center"/>
    </xf>
    <xf numFmtId="165" fontId="8" fillId="0" borderId="7" xfId="15" applyFont="1" applyBorder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/>
    <xf numFmtId="0" fontId="8" fillId="0" borderId="9" xfId="0" applyFont="1" applyFill="1" applyBorder="1"/>
    <xf numFmtId="0" fontId="8" fillId="0" borderId="7" xfId="0" applyFont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1" fontId="8" fillId="0" borderId="7" xfId="0" applyNumberFormat="1" applyFont="1" applyFill="1" applyBorder="1" applyAlignment="1">
      <alignment horizontal="center"/>
    </xf>
    <xf numFmtId="0" fontId="8" fillId="0" borderId="7" xfId="0" applyFont="1" applyFill="1" applyBorder="1"/>
    <xf numFmtId="0" fontId="8" fillId="0" borderId="7" xfId="0" applyFont="1" applyBorder="1"/>
    <xf numFmtId="0" fontId="13" fillId="0" borderId="9" xfId="0" applyFont="1" applyBorder="1"/>
    <xf numFmtId="0" fontId="13" fillId="0" borderId="7" xfId="0" applyFont="1" applyBorder="1"/>
    <xf numFmtId="0" fontId="13" fillId="0" borderId="7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8" fillId="0" borderId="7" xfId="0" applyFont="1" applyFill="1" applyBorder="1" applyAlignment="1">
      <alignment horizontal="center" wrapText="1"/>
    </xf>
    <xf numFmtId="165" fontId="8" fillId="0" borderId="9" xfId="0" applyNumberFormat="1" applyFont="1" applyBorder="1"/>
    <xf numFmtId="10" fontId="8" fillId="0" borderId="7" xfId="0" applyNumberFormat="1" applyFont="1" applyBorder="1" applyAlignment="1">
      <alignment horizontal="center"/>
    </xf>
    <xf numFmtId="165" fontId="8" fillId="0" borderId="7" xfId="0" applyNumberFormat="1" applyFont="1" applyBorder="1"/>
    <xf numFmtId="165" fontId="13" fillId="0" borderId="13" xfId="0" applyNumberFormat="1" applyFont="1" applyBorder="1" applyAlignment="1"/>
    <xf numFmtId="0" fontId="8" fillId="0" borderId="7" xfId="0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165" fontId="8" fillId="0" borderId="7" xfId="15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165" fontId="8" fillId="0" borderId="7" xfId="15" applyFont="1" applyFill="1" applyBorder="1" applyAlignment="1">
      <alignment horizontal="center"/>
    </xf>
    <xf numFmtId="0" fontId="13" fillId="0" borderId="9" xfId="0" applyFont="1" applyBorder="1" applyAlignment="1">
      <alignment horizontal="left"/>
    </xf>
    <xf numFmtId="165" fontId="13" fillId="0" borderId="10" xfId="15" applyFont="1" applyBorder="1" applyAlignment="1">
      <alignment horizontal="center"/>
    </xf>
    <xf numFmtId="165" fontId="8" fillId="0" borderId="10" xfId="15" applyFont="1" applyBorder="1" applyAlignment="1">
      <alignment horizontal="center"/>
    </xf>
    <xf numFmtId="0" fontId="8" fillId="0" borderId="9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165" fontId="13" fillId="0" borderId="10" xfId="15" applyFont="1" applyFill="1" applyBorder="1" applyAlignment="1">
      <alignment horizontal="center"/>
    </xf>
    <xf numFmtId="0" fontId="13" fillId="0" borderId="7" xfId="0" applyFont="1" applyFill="1" applyBorder="1"/>
    <xf numFmtId="0" fontId="19" fillId="0" borderId="0" xfId="0" applyFont="1" applyFill="1"/>
    <xf numFmtId="165" fontId="19" fillId="0" borderId="0" xfId="0" applyNumberFormat="1" applyFont="1"/>
    <xf numFmtId="0" fontId="19" fillId="0" borderId="0" xfId="0" applyFont="1"/>
    <xf numFmtId="165" fontId="8" fillId="0" borderId="7" xfId="0" applyNumberFormat="1" applyFont="1" applyBorder="1" applyAlignment="1">
      <alignment horizontal="center"/>
    </xf>
    <xf numFmtId="0" fontId="13" fillId="0" borderId="9" xfId="0" applyFont="1" applyFill="1" applyBorder="1"/>
    <xf numFmtId="0" fontId="8" fillId="0" borderId="9" xfId="0" applyFont="1" applyFill="1" applyBorder="1" applyAlignment="1">
      <alignment horizontal="left" wrapText="1"/>
    </xf>
    <xf numFmtId="0" fontId="8" fillId="5" borderId="0" xfId="0" applyFont="1" applyFill="1" applyBorder="1" applyAlignment="1">
      <alignment wrapText="1"/>
    </xf>
    <xf numFmtId="0" fontId="13" fillId="5" borderId="19" xfId="0" applyFont="1" applyFill="1" applyBorder="1" applyAlignment="1">
      <alignment wrapText="1"/>
    </xf>
    <xf numFmtId="0" fontId="8" fillId="5" borderId="20" xfId="0" applyFont="1" applyFill="1" applyBorder="1" applyAlignment="1">
      <alignment wrapText="1"/>
    </xf>
    <xf numFmtId="0" fontId="8" fillId="0" borderId="0" xfId="0" applyFont="1" applyBorder="1"/>
    <xf numFmtId="0" fontId="8" fillId="0" borderId="20" xfId="0" applyFont="1" applyBorder="1"/>
    <xf numFmtId="165" fontId="8" fillId="0" borderId="7" xfId="10" applyFont="1" applyFill="1" applyBorder="1" applyAlignment="1">
      <alignment horizontal="center" vertical="center"/>
    </xf>
    <xf numFmtId="165" fontId="8" fillId="0" borderId="9" xfId="0" applyNumberFormat="1" applyFont="1" applyFill="1" applyBorder="1" applyAlignment="1">
      <alignment horizontal="left" vertical="center" wrapText="1"/>
    </xf>
    <xf numFmtId="0" fontId="8" fillId="0" borderId="0" xfId="0" applyFont="1" applyFill="1"/>
    <xf numFmtId="0" fontId="8" fillId="5" borderId="21" xfId="0" applyFont="1" applyFill="1" applyBorder="1" applyAlignment="1">
      <alignment horizontal="justify" wrapText="1"/>
    </xf>
    <xf numFmtId="0" fontId="8" fillId="5" borderId="1" xfId="0" applyFont="1" applyFill="1" applyBorder="1" applyAlignment="1">
      <alignment horizontal="justify" wrapText="1"/>
    </xf>
    <xf numFmtId="0" fontId="8" fillId="5" borderId="2" xfId="0" applyFont="1" applyFill="1" applyBorder="1" applyAlignment="1">
      <alignment horizontal="justify" wrapText="1"/>
    </xf>
    <xf numFmtId="0" fontId="8" fillId="0" borderId="9" xfId="0" applyFont="1" applyFill="1" applyBorder="1" applyAlignment="1">
      <alignment wrapText="1"/>
    </xf>
    <xf numFmtId="165" fontId="13" fillId="0" borderId="10" xfId="15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/>
    </xf>
    <xf numFmtId="165" fontId="8" fillId="0" borderId="10" xfId="15" applyFont="1" applyBorder="1"/>
    <xf numFmtId="9" fontId="13" fillId="0" borderId="7" xfId="0" applyNumberFormat="1" applyFont="1" applyBorder="1" applyAlignment="1">
      <alignment horizontal="center"/>
    </xf>
    <xf numFmtId="165" fontId="13" fillId="0" borderId="10" xfId="15" applyFont="1" applyBorder="1"/>
    <xf numFmtId="10" fontId="13" fillId="0" borderId="7" xfId="0" applyNumberFormat="1" applyFont="1" applyBorder="1"/>
    <xf numFmtId="10" fontId="8" fillId="0" borderId="7" xfId="0" applyNumberFormat="1" applyFont="1" applyBorder="1"/>
    <xf numFmtId="9" fontId="8" fillId="0" borderId="7" xfId="0" applyNumberFormat="1" applyFont="1" applyFill="1" applyBorder="1" applyAlignment="1">
      <alignment horizontal="center"/>
    </xf>
    <xf numFmtId="9" fontId="13" fillId="0" borderId="7" xfId="0" applyNumberFormat="1" applyFont="1" applyFill="1" applyBorder="1" applyAlignment="1">
      <alignment horizontal="center"/>
    </xf>
    <xf numFmtId="165" fontId="8" fillId="0" borderId="7" xfId="0" applyNumberFormat="1" applyFont="1" applyFill="1" applyBorder="1"/>
    <xf numFmtId="165" fontId="8" fillId="0" borderId="10" xfId="15" applyFont="1" applyFill="1" applyBorder="1"/>
    <xf numFmtId="165" fontId="13" fillId="0" borderId="9" xfId="0" applyNumberFormat="1" applyFont="1" applyFill="1" applyBorder="1" applyAlignment="1">
      <alignment horizontal="right" wrapText="1"/>
    </xf>
    <xf numFmtId="165" fontId="13" fillId="0" borderId="7" xfId="0" applyNumberFormat="1" applyFont="1" applyFill="1" applyBorder="1"/>
    <xf numFmtId="165" fontId="13" fillId="0" borderId="10" xfId="15" applyFont="1" applyFill="1" applyBorder="1"/>
    <xf numFmtId="165" fontId="13" fillId="0" borderId="10" xfId="15" applyFont="1" applyBorder="1" applyAlignment="1">
      <alignment horizontal="center" vertical="center"/>
    </xf>
    <xf numFmtId="9" fontId="8" fillId="0" borderId="0" xfId="0" applyNumberFormat="1" applyFont="1" applyBorder="1" applyAlignment="1">
      <alignment horizontal="center"/>
    </xf>
    <xf numFmtId="165" fontId="13" fillId="0" borderId="20" xfId="15" applyFont="1" applyBorder="1"/>
    <xf numFmtId="0" fontId="8" fillId="0" borderId="18" xfId="0" applyFont="1" applyBorder="1"/>
    <xf numFmtId="0" fontId="13" fillId="0" borderId="9" xfId="0" applyFont="1" applyFill="1" applyBorder="1" applyAlignment="1">
      <alignment horizontal="justify" vertical="center" wrapText="1"/>
    </xf>
    <xf numFmtId="0" fontId="5" fillId="0" borderId="0" xfId="0" applyFont="1"/>
    <xf numFmtId="165" fontId="8" fillId="0" borderId="9" xfId="0" applyNumberFormat="1" applyFont="1" applyFill="1" applyBorder="1" applyAlignment="1">
      <alignment horizontal="left" wrapText="1"/>
    </xf>
    <xf numFmtId="165" fontId="8" fillId="0" borderId="10" xfId="15" applyFont="1" applyBorder="1" applyAlignment="1">
      <alignment horizontal="center" vertical="center"/>
    </xf>
    <xf numFmtId="0" fontId="12" fillId="0" borderId="0" xfId="0" applyFont="1" applyFill="1" applyBorder="1"/>
    <xf numFmtId="165" fontId="10" fillId="0" borderId="0" xfId="15" applyFont="1" applyFill="1" applyBorder="1" applyAlignment="1">
      <alignment vertical="center"/>
    </xf>
    <xf numFmtId="0" fontId="22" fillId="0" borderId="0" xfId="0" applyFont="1"/>
    <xf numFmtId="4" fontId="8" fillId="0" borderId="7" xfId="0" applyNumberFormat="1" applyFont="1" applyFill="1" applyBorder="1"/>
    <xf numFmtId="171" fontId="13" fillId="0" borderId="9" xfId="0" applyNumberFormat="1" applyFont="1" applyBorder="1" applyAlignment="1">
      <alignment horizontal="left"/>
    </xf>
    <xf numFmtId="0" fontId="10" fillId="0" borderId="0" xfId="0" applyFont="1" applyAlignment="1">
      <alignment horizontal="justify"/>
    </xf>
    <xf numFmtId="0" fontId="26" fillId="0" borderId="0" xfId="0" applyFont="1" applyAlignment="1">
      <alignment horizontal="justify"/>
    </xf>
    <xf numFmtId="165" fontId="8" fillId="0" borderId="7" xfId="10" applyFont="1" applyBorder="1" applyAlignment="1">
      <alignment horizontal="center" vertical="center"/>
    </xf>
    <xf numFmtId="165" fontId="8" fillId="0" borderId="10" xfId="10" applyFont="1" applyBorder="1"/>
    <xf numFmtId="165" fontId="13" fillId="0" borderId="10" xfId="10" applyFont="1" applyBorder="1"/>
    <xf numFmtId="0" fontId="13" fillId="0" borderId="19" xfId="0" applyFont="1" applyFill="1" applyBorder="1" applyAlignment="1">
      <alignment horizontal="justify" vertical="center" wrapText="1"/>
    </xf>
    <xf numFmtId="0" fontId="13" fillId="0" borderId="19" xfId="0" applyFont="1" applyFill="1" applyBorder="1" applyAlignment="1">
      <alignment vertical="center"/>
    </xf>
    <xf numFmtId="0" fontId="8" fillId="0" borderId="0" xfId="15" applyNumberFormat="1" applyFont="1" applyAlignment="1">
      <alignment vertical="center"/>
    </xf>
    <xf numFmtId="165" fontId="13" fillId="0" borderId="0" xfId="15" applyFont="1" applyFill="1" applyAlignment="1">
      <alignment vertical="center"/>
    </xf>
    <xf numFmtId="165" fontId="13" fillId="0" borderId="10" xfId="17" applyFont="1" applyBorder="1" applyAlignment="1">
      <alignment horizontal="center"/>
    </xf>
    <xf numFmtId="165" fontId="10" fillId="0" borderId="0" xfId="15" applyFont="1" applyAlignment="1">
      <alignment vertical="center" wrapText="1"/>
    </xf>
    <xf numFmtId="165" fontId="28" fillId="0" borderId="20" xfId="15" applyFont="1" applyBorder="1" applyAlignment="1">
      <alignment vertical="center" wrapText="1"/>
    </xf>
    <xf numFmtId="165" fontId="13" fillId="0" borderId="10" xfId="15" applyFont="1" applyFill="1" applyBorder="1" applyAlignment="1">
      <alignment vertical="center"/>
    </xf>
    <xf numFmtId="43" fontId="0" fillId="0" borderId="0" xfId="0" applyNumberFormat="1"/>
    <xf numFmtId="0" fontId="12" fillId="0" borderId="9" xfId="0" applyFont="1" applyBorder="1"/>
    <xf numFmtId="0" fontId="12" fillId="0" borderId="9" xfId="0" applyFont="1" applyBorder="1" applyAlignment="1">
      <alignment wrapText="1"/>
    </xf>
    <xf numFmtId="0" fontId="12" fillId="0" borderId="11" xfId="0" applyFont="1" applyBorder="1"/>
    <xf numFmtId="165" fontId="10" fillId="0" borderId="12" xfId="15" applyFont="1" applyBorder="1" applyAlignment="1">
      <alignment horizontal="center" vertical="center"/>
    </xf>
    <xf numFmtId="165" fontId="10" fillId="0" borderId="24" xfId="15" applyFont="1" applyBorder="1" applyAlignment="1">
      <alignment vertical="center"/>
    </xf>
    <xf numFmtId="165" fontId="10" fillId="0" borderId="25" xfId="15" applyFont="1" applyBorder="1" applyAlignment="1">
      <alignment vertical="center"/>
    </xf>
    <xf numFmtId="165" fontId="12" fillId="0" borderId="9" xfId="15" applyFont="1" applyBorder="1" applyAlignment="1">
      <alignment horizontal="justify" vertical="center" wrapText="1"/>
    </xf>
    <xf numFmtId="165" fontId="11" fillId="0" borderId="0" xfId="15" applyFont="1" applyBorder="1" applyAlignment="1">
      <alignment vertical="center"/>
    </xf>
    <xf numFmtId="171" fontId="11" fillId="0" borderId="0" xfId="15" applyNumberFormat="1" applyFont="1" applyFill="1" applyBorder="1" applyAlignment="1">
      <alignment horizontal="left" vertical="center"/>
    </xf>
    <xf numFmtId="165" fontId="10" fillId="0" borderId="20" xfId="15" applyFont="1" applyBorder="1" applyAlignment="1">
      <alignment vertical="center"/>
    </xf>
    <xf numFmtId="168" fontId="8" fillId="0" borderId="0" xfId="0" applyNumberFormat="1" applyFont="1" applyBorder="1"/>
    <xf numFmtId="0" fontId="11" fillId="0" borderId="0" xfId="15" applyNumberFormat="1" applyFont="1" applyBorder="1" applyAlignment="1">
      <alignment vertical="center"/>
    </xf>
    <xf numFmtId="0" fontId="11" fillId="0" borderId="0" xfId="15" applyNumberFormat="1" applyFont="1" applyBorder="1" applyAlignment="1">
      <alignment horizontal="left" vertical="center"/>
    </xf>
    <xf numFmtId="165" fontId="10" fillId="0" borderId="19" xfId="15" applyFont="1" applyBorder="1" applyAlignment="1">
      <alignment horizontal="justify" vertical="center" wrapText="1"/>
    </xf>
    <xf numFmtId="165" fontId="10" fillId="0" borderId="19" xfId="15" applyFont="1" applyBorder="1" applyAlignment="1">
      <alignment vertical="center"/>
    </xf>
    <xf numFmtId="0" fontId="10" fillId="0" borderId="0" xfId="15" applyNumberFormat="1" applyFont="1" applyBorder="1" applyAlignment="1">
      <alignment vertical="center"/>
    </xf>
    <xf numFmtId="165" fontId="8" fillId="0" borderId="20" xfId="15" applyFont="1" applyBorder="1" applyAlignment="1">
      <alignment vertical="center"/>
    </xf>
    <xf numFmtId="165" fontId="8" fillId="0" borderId="19" xfId="15" applyFont="1" applyBorder="1" applyAlignment="1">
      <alignment vertical="center"/>
    </xf>
    <xf numFmtId="0" fontId="8" fillId="0" borderId="0" xfId="15" applyNumberFormat="1" applyFont="1" applyBorder="1" applyAlignment="1">
      <alignment vertical="center"/>
    </xf>
    <xf numFmtId="165" fontId="8" fillId="0" borderId="0" xfId="15" applyFont="1" applyBorder="1" applyAlignment="1">
      <alignment vertical="center"/>
    </xf>
    <xf numFmtId="165" fontId="13" fillId="0" borderId="0" xfId="15" applyFont="1" applyFill="1" applyBorder="1" applyAlignment="1">
      <alignment vertical="center"/>
    </xf>
    <xf numFmtId="165" fontId="8" fillId="0" borderId="21" xfId="15" applyFont="1" applyBorder="1" applyAlignment="1">
      <alignment vertical="center"/>
    </xf>
    <xf numFmtId="0" fontId="8" fillId="0" borderId="1" xfId="0" applyFont="1" applyBorder="1"/>
    <xf numFmtId="165" fontId="8" fillId="0" borderId="1" xfId="15" applyFont="1" applyBorder="1" applyAlignment="1">
      <alignment vertical="center"/>
    </xf>
    <xf numFmtId="165" fontId="13" fillId="0" borderId="1" xfId="15" applyFont="1" applyFill="1" applyBorder="1" applyAlignment="1">
      <alignment vertical="center"/>
    </xf>
    <xf numFmtId="165" fontId="8" fillId="0" borderId="2" xfId="15" applyFont="1" applyBorder="1" applyAlignment="1">
      <alignment vertical="center"/>
    </xf>
    <xf numFmtId="165" fontId="8" fillId="0" borderId="9" xfId="15" applyFont="1" applyBorder="1" applyAlignment="1">
      <alignment horizontal="center" vertical="center"/>
    </xf>
    <xf numFmtId="165" fontId="10" fillId="0" borderId="12" xfId="15" applyNumberFormat="1" applyFont="1" applyFill="1" applyBorder="1" applyAlignment="1">
      <alignment vertical="center"/>
    </xf>
    <xf numFmtId="165" fontId="10" fillId="0" borderId="13" xfId="15" applyFont="1" applyFill="1" applyBorder="1" applyAlignment="1">
      <alignment vertical="center"/>
    </xf>
    <xf numFmtId="165" fontId="8" fillId="2" borderId="10" xfId="15" applyFont="1" applyFill="1" applyBorder="1" applyAlignment="1">
      <alignment vertical="center"/>
    </xf>
    <xf numFmtId="165" fontId="12" fillId="2" borderId="10" xfId="15" applyFont="1" applyFill="1" applyBorder="1" applyAlignment="1">
      <alignment horizontal="center" vertical="center"/>
    </xf>
    <xf numFmtId="165" fontId="8" fillId="0" borderId="9" xfId="15" applyFont="1" applyBorder="1" applyAlignment="1">
      <alignment vertical="center"/>
    </xf>
    <xf numFmtId="165" fontId="8" fillId="0" borderId="10" xfId="15" applyFont="1" applyBorder="1" applyAlignment="1">
      <alignment vertical="center"/>
    </xf>
    <xf numFmtId="165" fontId="8" fillId="0" borderId="11" xfId="15" applyFont="1" applyBorder="1" applyAlignment="1">
      <alignment vertical="center"/>
    </xf>
    <xf numFmtId="165" fontId="8" fillId="0" borderId="12" xfId="15" applyFont="1" applyBorder="1" applyAlignment="1">
      <alignment vertical="center"/>
    </xf>
    <xf numFmtId="165" fontId="8" fillId="0" borderId="13" xfId="15" applyFont="1" applyBorder="1" applyAlignment="1">
      <alignment vertical="center"/>
    </xf>
    <xf numFmtId="165" fontId="8" fillId="0" borderId="10" xfId="15" applyFont="1" applyBorder="1" applyAlignment="1">
      <alignment horizontal="left" vertical="center"/>
    </xf>
    <xf numFmtId="1" fontId="13" fillId="0" borderId="7" xfId="0" applyNumberFormat="1" applyFont="1" applyBorder="1" applyAlignment="1">
      <alignment horizontal="center"/>
    </xf>
    <xf numFmtId="9" fontId="8" fillId="0" borderId="7" xfId="0" applyNumberFormat="1" applyFont="1" applyBorder="1" applyAlignment="1">
      <alignment horizontal="center" vertical="center"/>
    </xf>
    <xf numFmtId="165" fontId="8" fillId="0" borderId="7" xfId="0" applyNumberFormat="1" applyFont="1" applyFill="1" applyBorder="1" applyAlignment="1">
      <alignment vertical="center"/>
    </xf>
    <xf numFmtId="43" fontId="0" fillId="0" borderId="0" xfId="0" applyNumberFormat="1" applyFill="1"/>
    <xf numFmtId="165" fontId="8" fillId="0" borderId="7" xfId="17" applyFont="1" applyBorder="1" applyAlignment="1">
      <alignment horizontal="center"/>
    </xf>
    <xf numFmtId="165" fontId="8" fillId="0" borderId="10" xfId="17" applyFont="1" applyBorder="1" applyAlignment="1">
      <alignment horizontal="center"/>
    </xf>
    <xf numFmtId="0" fontId="5" fillId="0" borderId="0" xfId="6"/>
    <xf numFmtId="0" fontId="5" fillId="0" borderId="10" xfId="6" applyBorder="1"/>
    <xf numFmtId="0" fontId="25" fillId="0" borderId="9" xfId="6" applyFont="1" applyFill="1" applyBorder="1" applyAlignment="1"/>
    <xf numFmtId="0" fontId="25" fillId="0" borderId="7" xfId="6" applyFont="1" applyFill="1" applyBorder="1" applyAlignment="1"/>
    <xf numFmtId="0" fontId="28" fillId="0" borderId="9" xfId="6" applyFont="1" applyFill="1" applyBorder="1" applyAlignment="1"/>
    <xf numFmtId="0" fontId="28" fillId="0" borderId="7" xfId="6" applyFont="1" applyFill="1" applyBorder="1" applyAlignment="1"/>
    <xf numFmtId="0" fontId="28" fillId="0" borderId="7" xfId="6" applyFont="1" applyFill="1" applyBorder="1" applyAlignment="1">
      <alignment wrapText="1"/>
    </xf>
    <xf numFmtId="165" fontId="28" fillId="0" borderId="9" xfId="6" applyNumberFormat="1" applyFont="1" applyBorder="1" applyAlignment="1">
      <alignment vertical="center"/>
    </xf>
    <xf numFmtId="165" fontId="28" fillId="0" borderId="7" xfId="6" applyNumberFormat="1" applyFont="1" applyBorder="1" applyAlignment="1">
      <alignment vertical="center"/>
    </xf>
    <xf numFmtId="0" fontId="4" fillId="0" borderId="7" xfId="6" applyFont="1" applyBorder="1" applyAlignment="1">
      <alignment horizontal="center" vertical="center"/>
    </xf>
    <xf numFmtId="0" fontId="4" fillId="0" borderId="7" xfId="6" applyFont="1" applyBorder="1"/>
    <xf numFmtId="0" fontId="2" fillId="0" borderId="10" xfId="6" applyFont="1" applyBorder="1"/>
    <xf numFmtId="4" fontId="5" fillId="0" borderId="0" xfId="6" applyNumberFormat="1"/>
    <xf numFmtId="9" fontId="20" fillId="7" borderId="7" xfId="6" applyNumberFormat="1" applyFont="1" applyFill="1" applyBorder="1" applyAlignment="1">
      <alignment horizontal="center" vertical="center"/>
    </xf>
    <xf numFmtId="4" fontId="25" fillId="7" borderId="12" xfId="6" applyNumberFormat="1" applyFont="1" applyFill="1" applyBorder="1" applyAlignment="1">
      <alignment vertical="center" textRotation="180"/>
    </xf>
    <xf numFmtId="9" fontId="20" fillId="0" borderId="7" xfId="6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Fill="1"/>
    <xf numFmtId="4" fontId="2" fillId="0" borderId="10" xfId="6" applyNumberFormat="1" applyFont="1" applyFill="1" applyBorder="1" applyAlignment="1">
      <alignment horizontal="center" vertical="center"/>
    </xf>
    <xf numFmtId="4" fontId="4" fillId="0" borderId="10" xfId="6" applyNumberFormat="1" applyFont="1" applyBorder="1" applyAlignment="1">
      <alignment horizontal="center" vertical="center"/>
    </xf>
    <xf numFmtId="165" fontId="3" fillId="0" borderId="0" xfId="0" applyNumberFormat="1" applyFont="1"/>
    <xf numFmtId="43" fontId="8" fillId="0" borderId="7" xfId="0" applyNumberFormat="1" applyFont="1" applyBorder="1"/>
    <xf numFmtId="4" fontId="2" fillId="0" borderId="0" xfId="6" applyNumberFormat="1" applyFont="1" applyAlignment="1">
      <alignment vertical="center"/>
    </xf>
    <xf numFmtId="0" fontId="8" fillId="0" borderId="7" xfId="6" applyFont="1" applyBorder="1" applyAlignment="1">
      <alignment horizontal="justify" vertical="center" wrapText="1"/>
    </xf>
    <xf numFmtId="0" fontId="11" fillId="0" borderId="9" xfId="6" applyFont="1" applyFill="1" applyBorder="1" applyAlignment="1">
      <alignment horizontal="center" vertical="center"/>
    </xf>
    <xf numFmtId="0" fontId="8" fillId="0" borderId="7" xfId="6" applyFont="1" applyFill="1" applyBorder="1" applyAlignment="1">
      <alignment horizontal="justify" vertical="center" wrapText="1"/>
    </xf>
    <xf numFmtId="0" fontId="8" fillId="0" borderId="10" xfId="0" applyFont="1" applyBorder="1"/>
    <xf numFmtId="0" fontId="15" fillId="0" borderId="9" xfId="0" applyFont="1" applyBorder="1"/>
    <xf numFmtId="165" fontId="13" fillId="0" borderId="10" xfId="0" applyNumberFormat="1" applyFont="1" applyBorder="1" applyAlignment="1">
      <alignment vertical="center"/>
    </xf>
    <xf numFmtId="165" fontId="13" fillId="0" borderId="29" xfId="0" applyNumberFormat="1" applyFont="1" applyBorder="1" applyAlignment="1"/>
    <xf numFmtId="43" fontId="8" fillId="0" borderId="0" xfId="0" applyNumberFormat="1" applyFont="1"/>
    <xf numFmtId="165" fontId="8" fillId="0" borderId="10" xfId="1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justify" wrapText="1"/>
    </xf>
    <xf numFmtId="0" fontId="13" fillId="0" borderId="6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right"/>
    </xf>
    <xf numFmtId="165" fontId="8" fillId="0" borderId="10" xfId="15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165" fontId="13" fillId="0" borderId="7" xfId="15" applyFont="1" applyBorder="1" applyAlignment="1">
      <alignment horizontal="center" wrapText="1"/>
    </xf>
    <xf numFmtId="0" fontId="13" fillId="0" borderId="9" xfId="0" applyFont="1" applyBorder="1" applyAlignment="1">
      <alignment horizontal="center"/>
    </xf>
    <xf numFmtId="165" fontId="13" fillId="0" borderId="9" xfId="0" applyNumberFormat="1" applyFont="1" applyBorder="1" applyAlignment="1">
      <alignment vertical="center"/>
    </xf>
    <xf numFmtId="165" fontId="13" fillId="0" borderId="10" xfId="15" applyFont="1" applyBorder="1" applyAlignment="1">
      <alignment horizontal="center" wrapText="1"/>
    </xf>
    <xf numFmtId="0" fontId="13" fillId="0" borderId="17" xfId="0" applyFont="1" applyBorder="1" applyAlignment="1">
      <alignment horizontal="center"/>
    </xf>
    <xf numFmtId="165" fontId="13" fillId="0" borderId="22" xfId="0" applyNumberFormat="1" applyFont="1" applyBorder="1" applyAlignment="1">
      <alignment vertical="center"/>
    </xf>
    <xf numFmtId="43" fontId="13" fillId="0" borderId="29" xfId="0" applyNumberFormat="1" applyFont="1" applyBorder="1"/>
    <xf numFmtId="0" fontId="8" fillId="0" borderId="22" xfId="0" applyFont="1" applyBorder="1"/>
    <xf numFmtId="0" fontId="8" fillId="0" borderId="33" xfId="0" applyFont="1" applyBorder="1"/>
    <xf numFmtId="0" fontId="13" fillId="0" borderId="6" xfId="0" applyFont="1" applyFill="1" applyBorder="1"/>
    <xf numFmtId="165" fontId="13" fillId="0" borderId="8" xfId="17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43" fontId="8" fillId="0" borderId="10" xfId="0" applyNumberFormat="1" applyFont="1" applyFill="1" applyBorder="1"/>
    <xf numFmtId="0" fontId="8" fillId="0" borderId="17" xfId="0" applyFont="1" applyFill="1" applyBorder="1"/>
    <xf numFmtId="0" fontId="8" fillId="0" borderId="18" xfId="0" applyFont="1" applyFill="1" applyBorder="1"/>
    <xf numFmtId="165" fontId="8" fillId="0" borderId="18" xfId="0" applyNumberFormat="1" applyFont="1" applyFill="1" applyBorder="1"/>
    <xf numFmtId="43" fontId="8" fillId="0" borderId="22" xfId="0" applyNumberFormat="1" applyFont="1" applyFill="1" applyBorder="1"/>
    <xf numFmtId="0" fontId="8" fillId="0" borderId="34" xfId="0" applyFont="1" applyFill="1" applyBorder="1"/>
    <xf numFmtId="9" fontId="8" fillId="0" borderId="34" xfId="0" applyNumberFormat="1" applyFont="1" applyFill="1" applyBorder="1" applyAlignment="1">
      <alignment horizontal="center"/>
    </xf>
    <xf numFmtId="43" fontId="13" fillId="0" borderId="34" xfId="0" applyNumberFormat="1" applyFont="1" applyFill="1" applyBorder="1"/>
    <xf numFmtId="43" fontId="13" fillId="0" borderId="29" xfId="0" applyNumberFormat="1" applyFont="1" applyFill="1" applyBorder="1"/>
    <xf numFmtId="172" fontId="13" fillId="0" borderId="9" xfId="0" applyNumberFormat="1" applyFont="1" applyBorder="1" applyAlignment="1">
      <alignment horizontal="left"/>
    </xf>
    <xf numFmtId="0" fontId="13" fillId="8" borderId="9" xfId="0" applyFont="1" applyFill="1" applyBorder="1" applyAlignment="1">
      <alignment vertical="center" wrapText="1"/>
    </xf>
    <xf numFmtId="0" fontId="8" fillId="8" borderId="7" xfId="0" applyFont="1" applyFill="1" applyBorder="1" applyAlignment="1">
      <alignment horizontal="center" vertical="center" wrapText="1"/>
    </xf>
    <xf numFmtId="1" fontId="8" fillId="8" borderId="7" xfId="0" applyNumberFormat="1" applyFont="1" applyFill="1" applyBorder="1" applyAlignment="1">
      <alignment horizontal="center"/>
    </xf>
    <xf numFmtId="0" fontId="8" fillId="8" borderId="7" xfId="0" applyFont="1" applyFill="1" applyBorder="1"/>
    <xf numFmtId="9" fontId="8" fillId="8" borderId="7" xfId="0" applyNumberFormat="1" applyFont="1" applyFill="1" applyBorder="1" applyAlignment="1">
      <alignment horizontal="center"/>
    </xf>
    <xf numFmtId="0" fontId="8" fillId="8" borderId="7" xfId="0" applyFont="1" applyFill="1" applyBorder="1" applyAlignment="1">
      <alignment horizontal="center"/>
    </xf>
    <xf numFmtId="4" fontId="8" fillId="8" borderId="7" xfId="0" applyNumberFormat="1" applyFont="1" applyFill="1" applyBorder="1"/>
    <xf numFmtId="165" fontId="8" fillId="8" borderId="10" xfId="15" applyFont="1" applyFill="1" applyBorder="1"/>
    <xf numFmtId="165" fontId="8" fillId="0" borderId="7" xfId="0" applyNumberFormat="1" applyFont="1" applyBorder="1" applyAlignment="1"/>
    <xf numFmtId="165" fontId="13" fillId="0" borderId="7" xfId="0" applyNumberFormat="1" applyFont="1" applyBorder="1" applyAlignment="1"/>
    <xf numFmtId="165" fontId="8" fillId="0" borderId="9" xfId="0" applyNumberFormat="1" applyFont="1" applyBorder="1" applyAlignment="1"/>
    <xf numFmtId="165" fontId="8" fillId="0" borderId="10" xfId="0" applyNumberFormat="1" applyFont="1" applyBorder="1" applyAlignment="1"/>
    <xf numFmtId="165" fontId="13" fillId="0" borderId="29" xfId="15" applyFont="1" applyBorder="1" applyAlignment="1">
      <alignment horizontal="center" vertical="center"/>
    </xf>
    <xf numFmtId="0" fontId="13" fillId="0" borderId="0" xfId="0" applyFont="1" applyFill="1" applyBorder="1"/>
    <xf numFmtId="173" fontId="13" fillId="0" borderId="0" xfId="0" applyNumberFormat="1" applyFont="1" applyFill="1" applyBorder="1" applyAlignment="1">
      <alignment horizontal="center"/>
    </xf>
    <xf numFmtId="0" fontId="13" fillId="0" borderId="7" xfId="6" applyFont="1" applyFill="1" applyBorder="1" applyAlignment="1">
      <alignment horizontal="justify" vertical="center" wrapText="1"/>
    </xf>
    <xf numFmtId="4" fontId="4" fillId="0" borderId="13" xfId="6" applyNumberFormat="1" applyFont="1" applyBorder="1" applyAlignment="1" applyProtection="1">
      <alignment horizontal="center" vertical="center"/>
      <protection locked="0"/>
    </xf>
    <xf numFmtId="174" fontId="5" fillId="0" borderId="0" xfId="6" applyNumberFormat="1"/>
    <xf numFmtId="4" fontId="4" fillId="0" borderId="10" xfId="6" applyNumberFormat="1" applyFont="1" applyFill="1" applyBorder="1" applyAlignment="1">
      <alignment horizontal="center" vertical="center"/>
    </xf>
    <xf numFmtId="43" fontId="5" fillId="0" borderId="0" xfId="6" applyNumberFormat="1"/>
    <xf numFmtId="0" fontId="13" fillId="0" borderId="0" xfId="0" applyFont="1"/>
    <xf numFmtId="165" fontId="8" fillId="0" borderId="0" xfId="15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7" borderId="7" xfId="0" applyNumberFormat="1" applyFont="1" applyFill="1" applyBorder="1" applyAlignment="1">
      <alignment horizontal="right" vertical="center"/>
    </xf>
    <xf numFmtId="4" fontId="10" fillId="3" borderId="12" xfId="0" applyNumberFormat="1" applyFont="1" applyFill="1" applyBorder="1" applyAlignment="1">
      <alignment horizontal="right" vertical="center"/>
    </xf>
    <xf numFmtId="165" fontId="13" fillId="0" borderId="0" xfId="17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165" fontId="13" fillId="0" borderId="0" xfId="0" applyNumberFormat="1" applyFont="1" applyBorder="1" applyAlignment="1"/>
    <xf numFmtId="165" fontId="13" fillId="0" borderId="10" xfId="0" applyNumberFormat="1" applyFont="1" applyBorder="1" applyAlignment="1">
      <alignment horizontal="center"/>
    </xf>
    <xf numFmtId="165" fontId="30" fillId="0" borderId="10" xfId="0" applyNumberFormat="1" applyFont="1" applyBorder="1" applyAlignment="1">
      <alignment horizontal="center"/>
    </xf>
    <xf numFmtId="165" fontId="8" fillId="0" borderId="7" xfId="17" applyFont="1" applyFill="1" applyBorder="1" applyAlignment="1">
      <alignment horizontal="center"/>
    </xf>
    <xf numFmtId="165" fontId="13" fillId="0" borderId="10" xfId="17" applyFont="1" applyFill="1" applyBorder="1" applyAlignment="1">
      <alignment horizontal="center"/>
    </xf>
    <xf numFmtId="165" fontId="8" fillId="0" borderId="0" xfId="15" applyFont="1" applyAlignment="1">
      <alignment horizontal="right" vertical="center"/>
    </xf>
    <xf numFmtId="176" fontId="8" fillId="0" borderId="0" xfId="15" applyNumberFormat="1" applyFont="1" applyAlignment="1">
      <alignment vertical="center"/>
    </xf>
    <xf numFmtId="0" fontId="0" fillId="0" borderId="0" xfId="0" applyBorder="1"/>
    <xf numFmtId="176" fontId="0" fillId="0" borderId="0" xfId="0" applyNumberFormat="1"/>
    <xf numFmtId="0" fontId="0" fillId="0" borderId="0" xfId="0" applyAlignment="1">
      <alignment horizontal="right"/>
    </xf>
    <xf numFmtId="0" fontId="8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0" fontId="0" fillId="0" borderId="0" xfId="0" applyFill="1" applyBorder="1"/>
    <xf numFmtId="0" fontId="13" fillId="0" borderId="7" xfId="0" applyFont="1" applyBorder="1" applyAlignment="1">
      <alignment horizontal="center"/>
    </xf>
    <xf numFmtId="0" fontId="36" fillId="0" borderId="7" xfId="0" applyFont="1" applyFill="1" applyBorder="1" applyAlignment="1">
      <alignment horizontal="center"/>
    </xf>
    <xf numFmtId="0" fontId="36" fillId="0" borderId="7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wrapText="1"/>
    </xf>
    <xf numFmtId="0" fontId="13" fillId="0" borderId="9" xfId="0" applyFont="1" applyFill="1" applyBorder="1" applyAlignment="1">
      <alignment horizontal="right" wrapText="1"/>
    </xf>
    <xf numFmtId="10" fontId="0" fillId="0" borderId="0" xfId="28" applyNumberFormat="1" applyFont="1"/>
    <xf numFmtId="0" fontId="8" fillId="0" borderId="37" xfId="0" applyFont="1" applyFill="1" applyBorder="1"/>
    <xf numFmtId="9" fontId="8" fillId="0" borderId="37" xfId="0" applyNumberFormat="1" applyFont="1" applyFill="1" applyBorder="1" applyAlignment="1">
      <alignment horizontal="center"/>
    </xf>
    <xf numFmtId="0" fontId="8" fillId="0" borderId="37" xfId="0" applyFont="1" applyFill="1" applyBorder="1" applyAlignment="1">
      <alignment horizontal="center" vertical="center"/>
    </xf>
    <xf numFmtId="165" fontId="8" fillId="0" borderId="37" xfId="0" applyNumberFormat="1" applyFont="1" applyFill="1" applyBorder="1" applyAlignment="1">
      <alignment vertical="center"/>
    </xf>
    <xf numFmtId="165" fontId="13" fillId="0" borderId="38" xfId="15" applyFont="1" applyFill="1" applyBorder="1" applyAlignment="1">
      <alignment vertical="center"/>
    </xf>
    <xf numFmtId="165" fontId="31" fillId="0" borderId="7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8" fillId="0" borderId="10" xfId="17" applyFont="1" applyFill="1" applyBorder="1" applyAlignment="1">
      <alignment horizontal="center"/>
    </xf>
    <xf numFmtId="177" fontId="0" fillId="0" borderId="0" xfId="0" applyNumberFormat="1"/>
    <xf numFmtId="0" fontId="5" fillId="0" borderId="0" xfId="0" applyFont="1" applyAlignment="1">
      <alignment horizontal="center"/>
    </xf>
    <xf numFmtId="177" fontId="0" fillId="0" borderId="0" xfId="0" applyNumberFormat="1" applyAlignment="1">
      <alignment horizontal="center"/>
    </xf>
    <xf numFmtId="177" fontId="5" fillId="0" borderId="0" xfId="0" applyNumberFormat="1" applyFont="1" applyAlignment="1">
      <alignment horizontal="center"/>
    </xf>
    <xf numFmtId="177" fontId="3" fillId="0" borderId="0" xfId="0" applyNumberFormat="1" applyFont="1"/>
    <xf numFmtId="0" fontId="11" fillId="0" borderId="14" xfId="6" applyFont="1" applyFill="1" applyBorder="1" applyAlignment="1">
      <alignment horizontal="center" vertical="center"/>
    </xf>
    <xf numFmtId="10" fontId="4" fillId="0" borderId="10" xfId="6" applyNumberFormat="1" applyFont="1" applyFill="1" applyBorder="1" applyAlignment="1">
      <alignment horizontal="center" vertical="center"/>
    </xf>
    <xf numFmtId="0" fontId="2" fillId="0" borderId="10" xfId="6" applyFont="1" applyBorder="1" applyAlignment="1">
      <alignment horizontal="center"/>
    </xf>
    <xf numFmtId="10" fontId="0" fillId="0" borderId="36" xfId="0" applyNumberFormat="1" applyBorder="1" applyAlignment="1">
      <alignment horizontal="center" vertical="center" textRotation="90"/>
    </xf>
    <xf numFmtId="9" fontId="4" fillId="0" borderId="16" xfId="6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17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77" fontId="38" fillId="0" borderId="0" xfId="0" applyNumberFormat="1" applyFont="1"/>
    <xf numFmtId="177" fontId="3" fillId="10" borderId="0" xfId="0" applyNumberFormat="1" applyFont="1" applyFill="1"/>
    <xf numFmtId="177" fontId="5" fillId="0" borderId="0" xfId="0" applyNumberFormat="1" applyFont="1"/>
    <xf numFmtId="0" fontId="5" fillId="0" borderId="0" xfId="0" applyFont="1" applyAlignment="1">
      <alignment horizontal="left"/>
    </xf>
    <xf numFmtId="10" fontId="5" fillId="0" borderId="0" xfId="6" applyNumberFormat="1"/>
    <xf numFmtId="10" fontId="0" fillId="0" borderId="36" xfId="0" applyNumberFormat="1" applyBorder="1" applyAlignment="1">
      <alignment horizontal="center" vertical="center" wrapText="1"/>
    </xf>
    <xf numFmtId="10" fontId="25" fillId="0" borderId="58" xfId="6" applyNumberFormat="1" applyFont="1" applyBorder="1" applyAlignment="1">
      <alignment horizontal="left" vertical="center" wrapText="1"/>
    </xf>
    <xf numFmtId="10" fontId="0" fillId="0" borderId="59" xfId="0" applyNumberFormat="1" applyBorder="1" applyAlignment="1">
      <alignment wrapText="1"/>
    </xf>
    <xf numFmtId="10" fontId="0" fillId="0" borderId="60" xfId="0" applyNumberFormat="1" applyBorder="1" applyAlignment="1">
      <alignment wrapText="1"/>
    </xf>
    <xf numFmtId="10" fontId="0" fillId="0" borderId="36" xfId="0" applyNumberFormat="1" applyBorder="1" applyAlignment="1">
      <alignment wrapText="1"/>
    </xf>
    <xf numFmtId="10" fontId="4" fillId="0" borderId="36" xfId="6" applyNumberFormat="1" applyFont="1" applyBorder="1" applyAlignment="1">
      <alignment horizontal="center"/>
    </xf>
    <xf numFmtId="0" fontId="28" fillId="0" borderId="17" xfId="6" applyFont="1" applyFill="1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" fillId="0" borderId="18" xfId="0" applyFont="1" applyBorder="1" applyAlignment="1">
      <alignment wrapText="1"/>
    </xf>
    <xf numFmtId="10" fontId="5" fillId="0" borderId="22" xfId="0" applyNumberFormat="1" applyFont="1" applyBorder="1" applyAlignment="1">
      <alignment wrapText="1"/>
    </xf>
    <xf numFmtId="0" fontId="8" fillId="0" borderId="0" xfId="0" applyFont="1" applyFill="1" applyBorder="1"/>
    <xf numFmtId="44" fontId="8" fillId="0" borderId="0" xfId="0" applyNumberFormat="1" applyFont="1" applyBorder="1"/>
    <xf numFmtId="0" fontId="39" fillId="0" borderId="0" xfId="0" applyFont="1" applyBorder="1" applyAlignment="1"/>
    <xf numFmtId="43" fontId="8" fillId="0" borderId="0" xfId="0" applyNumberFormat="1" applyFont="1" applyFill="1" applyBorder="1"/>
    <xf numFmtId="44" fontId="8" fillId="0" borderId="0" xfId="29" applyFont="1" applyFill="1" applyBorder="1"/>
    <xf numFmtId="49" fontId="8" fillId="0" borderId="0" xfId="0" applyNumberFormat="1" applyFont="1" applyFill="1" applyBorder="1" applyAlignment="1">
      <alignment horizontal="center" vertical="center"/>
    </xf>
    <xf numFmtId="165" fontId="8" fillId="0" borderId="0" xfId="17" applyFont="1" applyFill="1" applyBorder="1" applyAlignment="1">
      <alignment horizontal="center"/>
    </xf>
    <xf numFmtId="165" fontId="13" fillId="0" borderId="0" xfId="17" applyFont="1" applyFill="1" applyBorder="1" applyAlignment="1">
      <alignment horizontal="center"/>
    </xf>
    <xf numFmtId="10" fontId="8" fillId="0" borderId="0" xfId="0" applyNumberFormat="1" applyFont="1" applyFill="1" applyBorder="1" applyAlignment="1">
      <alignment horizontal="center"/>
    </xf>
    <xf numFmtId="165" fontId="31" fillId="0" borderId="0" xfId="17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vertical="center"/>
    </xf>
    <xf numFmtId="43" fontId="0" fillId="0" borderId="0" xfId="0" applyNumberFormat="1" applyFill="1" applyBorder="1"/>
    <xf numFmtId="44" fontId="13" fillId="0" borderId="0" xfId="29" applyFont="1" applyFill="1" applyBorder="1" applyAlignment="1"/>
    <xf numFmtId="0" fontId="13" fillId="0" borderId="10" xfId="0" applyFont="1" applyFill="1" applyBorder="1" applyAlignment="1">
      <alignment horizontal="center"/>
    </xf>
    <xf numFmtId="4" fontId="10" fillId="0" borderId="7" xfId="0" applyNumberFormat="1" applyFont="1" applyFill="1" applyBorder="1" applyAlignment="1">
      <alignment horizontal="right" vertical="center"/>
    </xf>
    <xf numFmtId="165" fontId="13" fillId="0" borderId="35" xfId="17" applyFont="1" applyFill="1" applyBorder="1" applyAlignment="1">
      <alignment horizontal="center" vertical="center" wrapText="1"/>
    </xf>
    <xf numFmtId="165" fontId="13" fillId="0" borderId="35" xfId="0" applyNumberFormat="1" applyFont="1" applyBorder="1" applyAlignment="1"/>
    <xf numFmtId="0" fontId="13" fillId="0" borderId="9" xfId="0" applyFont="1" applyFill="1" applyBorder="1" applyAlignment="1">
      <alignment vertical="center"/>
    </xf>
    <xf numFmtId="0" fontId="13" fillId="0" borderId="9" xfId="0" applyFont="1" applyFill="1" applyBorder="1" applyAlignment="1">
      <alignment horizontal="right" vertical="center"/>
    </xf>
    <xf numFmtId="165" fontId="31" fillId="0" borderId="10" xfId="15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2" fontId="30" fillId="0" borderId="7" xfId="0" applyNumberFormat="1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173" fontId="8" fillId="0" borderId="0" xfId="0" applyNumberFormat="1" applyFont="1" applyFill="1" applyBorder="1" applyAlignment="1">
      <alignment horizontal="center"/>
    </xf>
    <xf numFmtId="0" fontId="13" fillId="11" borderId="7" xfId="0" applyFont="1" applyFill="1" applyBorder="1" applyAlignment="1">
      <alignment horizontal="center" vertical="center" wrapText="1"/>
    </xf>
    <xf numFmtId="2" fontId="31" fillId="11" borderId="7" xfId="0" applyNumberFormat="1" applyFont="1" applyFill="1" applyBorder="1" applyAlignment="1">
      <alignment horizontal="center"/>
    </xf>
    <xf numFmtId="0" fontId="13" fillId="12" borderId="0" xfId="0" applyFont="1" applyFill="1" applyBorder="1"/>
    <xf numFmtId="0" fontId="30" fillId="0" borderId="7" xfId="6" applyFont="1" applyFill="1" applyBorder="1" applyAlignment="1">
      <alignment horizontal="justify" vertical="center" wrapText="1"/>
    </xf>
    <xf numFmtId="0" fontId="13" fillId="0" borderId="7" xfId="0" applyFont="1" applyFill="1" applyBorder="1" applyAlignment="1">
      <alignment horizontal="center"/>
    </xf>
    <xf numFmtId="4" fontId="2" fillId="7" borderId="7" xfId="6" applyNumberFormat="1" applyFont="1" applyFill="1" applyBorder="1" applyAlignment="1">
      <alignment horizontal="center" vertical="center" textRotation="90"/>
    </xf>
    <xf numFmtId="10" fontId="2" fillId="0" borderId="36" xfId="6" applyNumberFormat="1" applyFont="1" applyFill="1" applyBorder="1" applyAlignment="1">
      <alignment horizontal="center" vertical="center" textRotation="90"/>
    </xf>
    <xf numFmtId="10" fontId="2" fillId="0" borderId="36" xfId="0" applyNumberFormat="1" applyFont="1" applyBorder="1" applyAlignment="1">
      <alignment horizontal="center" vertical="center" textRotation="90"/>
    </xf>
    <xf numFmtId="4" fontId="2" fillId="0" borderId="7" xfId="6" applyNumberFormat="1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7" borderId="7" xfId="0" applyFont="1" applyFill="1" applyBorder="1" applyAlignment="1">
      <alignment horizontal="center" vertical="center" textRotation="90"/>
    </xf>
    <xf numFmtId="10" fontId="2" fillId="0" borderId="7" xfId="6" applyNumberFormat="1" applyFont="1" applyFill="1" applyBorder="1" applyAlignment="1">
      <alignment horizontal="center" vertical="center" textRotation="90"/>
    </xf>
    <xf numFmtId="10" fontId="2" fillId="0" borderId="60" xfId="6" applyNumberFormat="1" applyFont="1" applyFill="1" applyBorder="1" applyAlignment="1">
      <alignment horizontal="center" vertical="center" textRotation="90"/>
    </xf>
    <xf numFmtId="4" fontId="2" fillId="7" borderId="12" xfId="6" applyNumberFormat="1" applyFont="1" applyFill="1" applyBorder="1" applyAlignment="1">
      <alignment horizontal="center" vertical="center" textRotation="90"/>
    </xf>
    <xf numFmtId="10" fontId="2" fillId="9" borderId="36" xfId="28" applyNumberFormat="1" applyFont="1" applyFill="1" applyBorder="1" applyAlignment="1">
      <alignment horizontal="center" vertical="center" textRotation="90"/>
    </xf>
    <xf numFmtId="2" fontId="2" fillId="7" borderId="7" xfId="6" applyNumberFormat="1" applyFont="1" applyFill="1" applyBorder="1" applyAlignment="1">
      <alignment horizontal="center" vertical="center" textRotation="90"/>
    </xf>
    <xf numFmtId="2" fontId="2" fillId="0" borderId="7" xfId="6" applyNumberFormat="1" applyFont="1" applyFill="1" applyBorder="1" applyAlignment="1">
      <alignment horizontal="center" vertical="center" textRotation="90"/>
    </xf>
    <xf numFmtId="10" fontId="2" fillId="9" borderId="36" xfId="6" applyNumberFormat="1" applyFont="1" applyFill="1" applyBorder="1" applyAlignment="1">
      <alignment horizontal="center" vertical="center" textRotation="90"/>
    </xf>
    <xf numFmtId="0" fontId="2" fillId="0" borderId="0" xfId="6" applyFont="1"/>
    <xf numFmtId="4" fontId="2" fillId="9" borderId="7" xfId="6" applyNumberFormat="1" applyFont="1" applyFill="1" applyBorder="1" applyAlignment="1">
      <alignment horizontal="center" vertical="center" textRotation="90"/>
    </xf>
    <xf numFmtId="10" fontId="2" fillId="0" borderId="18" xfId="0" applyNumberFormat="1" applyFont="1" applyBorder="1" applyAlignment="1">
      <alignment horizontal="center" vertical="center" textRotation="90" wrapText="1"/>
    </xf>
    <xf numFmtId="10" fontId="2" fillId="0" borderId="58" xfId="0" applyNumberFormat="1" applyFont="1" applyBorder="1" applyAlignment="1">
      <alignment horizontal="center" vertical="center" textRotation="90" wrapText="1"/>
    </xf>
    <xf numFmtId="10" fontId="2" fillId="9" borderId="40" xfId="6" applyNumberFormat="1" applyFont="1" applyFill="1" applyBorder="1" applyAlignment="1">
      <alignment horizontal="center" vertical="center" textRotation="90"/>
    </xf>
    <xf numFmtId="173" fontId="13" fillId="11" borderId="7" xfId="0" applyNumberFormat="1" applyFont="1" applyFill="1" applyBorder="1" applyAlignment="1">
      <alignment horizontal="center"/>
    </xf>
    <xf numFmtId="0" fontId="30" fillId="0" borderId="7" xfId="0" applyFont="1" applyFill="1" applyBorder="1" applyAlignment="1">
      <alignment horizontal="center"/>
    </xf>
    <xf numFmtId="4" fontId="30" fillId="0" borderId="7" xfId="0" applyNumberFormat="1" applyFont="1" applyFill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wrapText="1"/>
    </xf>
    <xf numFmtId="0" fontId="30" fillId="0" borderId="0" xfId="0" applyFont="1" applyFill="1" applyBorder="1" applyAlignment="1">
      <alignment horizontal="center"/>
    </xf>
    <xf numFmtId="4" fontId="30" fillId="0" borderId="0" xfId="0" applyNumberFormat="1" applyFont="1" applyFill="1" applyBorder="1" applyAlignment="1">
      <alignment horizontal="center" vertical="center"/>
    </xf>
    <xf numFmtId="2" fontId="30" fillId="0" borderId="7" xfId="0" applyNumberFormat="1" applyFont="1" applyFill="1" applyBorder="1" applyAlignment="1">
      <alignment horizontal="center"/>
    </xf>
    <xf numFmtId="2" fontId="30" fillId="0" borderId="7" xfId="0" applyNumberFormat="1" applyFont="1" applyFill="1" applyBorder="1" applyAlignment="1">
      <alignment horizontal="center" vertical="center"/>
    </xf>
    <xf numFmtId="0" fontId="31" fillId="0" borderId="0" xfId="0" applyFont="1" applyFill="1"/>
    <xf numFmtId="4" fontId="2" fillId="0" borderId="7" xfId="6" applyNumberFormat="1" applyFont="1" applyFill="1" applyBorder="1" applyAlignment="1">
      <alignment horizontal="center" vertical="center" textRotation="90"/>
    </xf>
    <xf numFmtId="10" fontId="2" fillId="0" borderId="0" xfId="6" applyNumberFormat="1" applyFont="1" applyAlignment="1">
      <alignment vertical="center"/>
    </xf>
    <xf numFmtId="2" fontId="8" fillId="0" borderId="0" xfId="0" applyNumberFormat="1" applyFont="1" applyFill="1" applyBorder="1"/>
    <xf numFmtId="165" fontId="12" fillId="2" borderId="7" xfId="15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center" wrapText="1"/>
    </xf>
    <xf numFmtId="0" fontId="13" fillId="0" borderId="37" xfId="0" applyFont="1" applyFill="1" applyBorder="1" applyAlignment="1">
      <alignment horizontal="center" wrapText="1"/>
    </xf>
    <xf numFmtId="0" fontId="13" fillId="0" borderId="38" xfId="0" applyFont="1" applyFill="1" applyBorder="1" applyAlignment="1">
      <alignment horizontal="center" wrapText="1"/>
    </xf>
    <xf numFmtId="44" fontId="8" fillId="0" borderId="0" xfId="27" applyFont="1"/>
    <xf numFmtId="165" fontId="10" fillId="0" borderId="7" xfId="15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 textRotation="90"/>
    </xf>
    <xf numFmtId="4" fontId="2" fillId="0" borderId="36" xfId="6" applyNumberFormat="1" applyFont="1" applyFill="1" applyBorder="1" applyAlignment="1">
      <alignment horizontal="center" vertical="center" textRotation="90"/>
    </xf>
    <xf numFmtId="165" fontId="42" fillId="0" borderId="9" xfId="0" applyNumberFormat="1" applyFont="1" applyBorder="1" applyAlignment="1">
      <alignment horizontal="justify" vertical="center" wrapText="1"/>
    </xf>
    <xf numFmtId="1" fontId="42" fillId="0" borderId="7" xfId="0" applyNumberFormat="1" applyFont="1" applyBorder="1" applyAlignment="1">
      <alignment horizontal="center" vertical="center"/>
    </xf>
    <xf numFmtId="0" fontId="42" fillId="0" borderId="7" xfId="0" applyFont="1" applyFill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165" fontId="42" fillId="0" borderId="7" xfId="15" applyFont="1" applyBorder="1" applyAlignment="1">
      <alignment horizontal="center" vertical="center"/>
    </xf>
    <xf numFmtId="165" fontId="43" fillId="0" borderId="10" xfId="15" applyFont="1" applyBorder="1" applyAlignment="1">
      <alignment horizontal="center" vertical="center"/>
    </xf>
    <xf numFmtId="165" fontId="42" fillId="0" borderId="7" xfId="0" applyNumberFormat="1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165" fontId="42" fillId="0" borderId="9" xfId="0" applyNumberFormat="1" applyFont="1" applyBorder="1"/>
    <xf numFmtId="0" fontId="42" fillId="0" borderId="7" xfId="0" applyFont="1" applyBorder="1" applyAlignment="1">
      <alignment horizontal="center"/>
    </xf>
    <xf numFmtId="0" fontId="42" fillId="0" borderId="7" xfId="0" applyFont="1" applyFill="1" applyBorder="1" applyAlignment="1">
      <alignment horizontal="center"/>
    </xf>
    <xf numFmtId="165" fontId="42" fillId="0" borderId="7" xfId="15" applyFont="1" applyBorder="1" applyAlignment="1">
      <alignment horizontal="center"/>
    </xf>
    <xf numFmtId="165" fontId="43" fillId="0" borderId="9" xfId="0" applyNumberFormat="1" applyFont="1" applyBorder="1" applyAlignment="1">
      <alignment horizontal="right"/>
    </xf>
    <xf numFmtId="165" fontId="43" fillId="0" borderId="7" xfId="15" applyFont="1" applyBorder="1" applyAlignment="1">
      <alignment horizontal="center"/>
    </xf>
    <xf numFmtId="165" fontId="43" fillId="0" borderId="17" xfId="0" applyNumberFormat="1" applyFont="1" applyBorder="1" applyAlignment="1">
      <alignment horizontal="right"/>
    </xf>
    <xf numFmtId="0" fontId="42" fillId="0" borderId="18" xfId="0" applyFont="1" applyBorder="1" applyAlignment="1">
      <alignment horizontal="center"/>
    </xf>
    <xf numFmtId="0" fontId="42" fillId="0" borderId="18" xfId="0" applyFont="1" applyFill="1" applyBorder="1" applyAlignment="1">
      <alignment horizontal="center"/>
    </xf>
    <xf numFmtId="165" fontId="42" fillId="0" borderId="18" xfId="15" applyFont="1" applyBorder="1" applyAlignment="1">
      <alignment horizontal="center"/>
    </xf>
    <xf numFmtId="165" fontId="43" fillId="0" borderId="18" xfId="15" applyFont="1" applyBorder="1" applyAlignment="1">
      <alignment horizontal="center"/>
    </xf>
    <xf numFmtId="165" fontId="43" fillId="0" borderId="32" xfId="0" applyNumberFormat="1" applyFont="1" applyBorder="1" applyAlignment="1">
      <alignment horizontal="right"/>
    </xf>
    <xf numFmtId="0" fontId="42" fillId="0" borderId="30" xfId="0" applyFont="1" applyBorder="1" applyAlignment="1">
      <alignment horizontal="center"/>
    </xf>
    <xf numFmtId="0" fontId="42" fillId="0" borderId="30" xfId="0" applyFont="1" applyFill="1" applyBorder="1" applyAlignment="1">
      <alignment horizontal="center"/>
    </xf>
    <xf numFmtId="165" fontId="42" fillId="0" borderId="30" xfId="15" applyFont="1" applyBorder="1" applyAlignment="1">
      <alignment horizontal="center"/>
    </xf>
    <xf numFmtId="165" fontId="43" fillId="0" borderId="30" xfId="15" applyFont="1" applyBorder="1" applyAlignment="1">
      <alignment horizontal="center"/>
    </xf>
    <xf numFmtId="0" fontId="13" fillId="0" borderId="52" xfId="0" applyFont="1" applyFill="1" applyBorder="1"/>
    <xf numFmtId="0" fontId="8" fillId="0" borderId="7" xfId="30" applyFont="1" applyFill="1" applyBorder="1" applyAlignment="1">
      <alignment horizontal="left" vertical="center" wrapText="1"/>
    </xf>
    <xf numFmtId="165" fontId="13" fillId="0" borderId="38" xfId="15" applyFont="1" applyFill="1" applyBorder="1"/>
    <xf numFmtId="165" fontId="8" fillId="0" borderId="37" xfId="0" applyNumberFormat="1" applyFont="1" applyBorder="1"/>
    <xf numFmtId="9" fontId="8" fillId="0" borderId="37" xfId="0" applyNumberFormat="1" applyFont="1" applyBorder="1" applyAlignment="1">
      <alignment horizontal="center"/>
    </xf>
    <xf numFmtId="0" fontId="8" fillId="0" borderId="37" xfId="0" applyFont="1" applyBorder="1"/>
    <xf numFmtId="10" fontId="8" fillId="0" borderId="37" xfId="0" applyNumberFormat="1" applyFont="1" applyBorder="1"/>
    <xf numFmtId="0" fontId="8" fillId="0" borderId="37" xfId="0" applyFont="1" applyBorder="1" applyAlignment="1">
      <alignment horizontal="center"/>
    </xf>
    <xf numFmtId="0" fontId="1" fillId="0" borderId="0" xfId="33" applyFont="1"/>
    <xf numFmtId="174" fontId="3" fillId="11" borderId="61" xfId="33" applyNumberFormat="1" applyFont="1" applyFill="1" applyBorder="1"/>
    <xf numFmtId="0" fontId="3" fillId="11" borderId="31" xfId="33" applyFont="1" applyFill="1" applyBorder="1" applyAlignment="1">
      <alignment horizontal="left"/>
    </xf>
    <xf numFmtId="0" fontId="3" fillId="11" borderId="34" xfId="33" applyFont="1" applyFill="1" applyBorder="1" applyAlignment="1">
      <alignment horizontal="center"/>
    </xf>
    <xf numFmtId="0" fontId="3" fillId="11" borderId="29" xfId="33" applyFont="1" applyFill="1" applyBorder="1" applyAlignment="1">
      <alignment horizontal="center"/>
    </xf>
    <xf numFmtId="0" fontId="3" fillId="0" borderId="21" xfId="33" applyFont="1" applyFill="1" applyBorder="1" applyAlignment="1">
      <alignment horizontal="center" wrapText="1"/>
    </xf>
    <xf numFmtId="0" fontId="1" fillId="0" borderId="5" xfId="33" applyFont="1" applyFill="1" applyBorder="1"/>
    <xf numFmtId="0" fontId="1" fillId="0" borderId="17" xfId="33" applyFont="1" applyFill="1" applyBorder="1"/>
    <xf numFmtId="0" fontId="1" fillId="0" borderId="11" xfId="33" applyFont="1" applyFill="1" applyBorder="1"/>
    <xf numFmtId="0" fontId="3" fillId="0" borderId="43" xfId="33" applyFont="1" applyFill="1" applyBorder="1" applyAlignment="1">
      <alignment horizontal="center"/>
    </xf>
    <xf numFmtId="0" fontId="45" fillId="0" borderId="9" xfId="0" applyFont="1" applyBorder="1" applyAlignment="1">
      <alignment vertical="center"/>
    </xf>
    <xf numFmtId="0" fontId="45" fillId="0" borderId="9" xfId="0" applyFont="1" applyFill="1" applyBorder="1"/>
    <xf numFmtId="43" fontId="13" fillId="0" borderId="10" xfId="15" applyNumberFormat="1" applyFont="1" applyBorder="1" applyAlignment="1">
      <alignment horizontal="center" vertical="center"/>
    </xf>
    <xf numFmtId="174" fontId="1" fillId="0" borderId="6" xfId="33" applyNumberFormat="1" applyFont="1" applyFill="1" applyBorder="1"/>
    <xf numFmtId="174" fontId="1" fillId="0" borderId="45" xfId="33" applyNumberFormat="1" applyFont="1" applyFill="1" applyBorder="1" applyAlignment="1">
      <alignment horizontal="center"/>
    </xf>
    <xf numFmtId="174" fontId="1" fillId="0" borderId="4" xfId="33" applyNumberFormat="1" applyFont="1" applyFill="1" applyBorder="1"/>
    <xf numFmtId="174" fontId="1" fillId="0" borderId="7" xfId="33" applyNumberFormat="1" applyFont="1" applyFill="1" applyBorder="1"/>
    <xf numFmtId="174" fontId="1" fillId="0" borderId="7" xfId="33" applyNumberFormat="1" applyFont="1" applyFill="1" applyBorder="1" applyAlignment="1">
      <alignment horizontal="center"/>
    </xf>
    <xf numFmtId="174" fontId="1" fillId="0" borderId="10" xfId="33" applyNumberFormat="1" applyFont="1" applyFill="1" applyBorder="1"/>
    <xf numFmtId="174" fontId="1" fillId="0" borderId="63" xfId="33" applyNumberFormat="1" applyFont="1" applyFill="1" applyBorder="1"/>
    <xf numFmtId="174" fontId="1" fillId="0" borderId="63" xfId="33" applyNumberFormat="1" applyFont="1" applyFill="1" applyBorder="1" applyAlignment="1">
      <alignment horizontal="center"/>
    </xf>
    <xf numFmtId="174" fontId="1" fillId="0" borderId="62" xfId="33" applyNumberFormat="1" applyFont="1" applyFill="1" applyBorder="1"/>
    <xf numFmtId="174" fontId="1" fillId="0" borderId="1" xfId="33" applyNumberFormat="1" applyFont="1" applyBorder="1" applyAlignment="1">
      <alignment horizontal="center" wrapText="1"/>
    </xf>
    <xf numFmtId="0" fontId="1" fillId="0" borderId="1" xfId="33" applyFont="1" applyBorder="1" applyAlignment="1">
      <alignment horizontal="center" wrapText="1"/>
    </xf>
    <xf numFmtId="0" fontId="1" fillId="0" borderId="24" xfId="33" applyFont="1" applyFill="1" applyBorder="1" applyAlignment="1">
      <alignment wrapText="1"/>
    </xf>
    <xf numFmtId="0" fontId="1" fillId="0" borderId="24" xfId="33" applyFont="1" applyBorder="1" applyAlignment="1">
      <alignment wrapText="1"/>
    </xf>
    <xf numFmtId="2" fontId="1" fillId="0" borderId="18" xfId="33" applyNumberFormat="1" applyFont="1" applyBorder="1"/>
    <xf numFmtId="174" fontId="1" fillId="0" borderId="30" xfId="33" applyNumberFormat="1" applyFont="1" applyFill="1" applyBorder="1" applyAlignment="1">
      <alignment horizontal="center"/>
    </xf>
    <xf numFmtId="174" fontId="1" fillId="0" borderId="33" xfId="33" applyNumberFormat="1" applyFont="1" applyFill="1" applyBorder="1"/>
    <xf numFmtId="2" fontId="1" fillId="0" borderId="35" xfId="33" applyNumberFormat="1" applyFont="1" applyFill="1" applyBorder="1" applyAlignment="1">
      <alignment horizontal="center"/>
    </xf>
    <xf numFmtId="0" fontId="1" fillId="0" borderId="44" xfId="33" applyFont="1" applyFill="1" applyBorder="1" applyAlignment="1">
      <alignment horizontal="center"/>
    </xf>
    <xf numFmtId="0" fontId="36" fillId="5" borderId="19" xfId="0" applyFont="1" applyFill="1" applyBorder="1" applyAlignment="1">
      <alignment wrapText="1"/>
    </xf>
    <xf numFmtId="0" fontId="36" fillId="5" borderId="0" xfId="0" applyFont="1" applyFill="1" applyBorder="1" applyAlignment="1">
      <alignment wrapText="1"/>
    </xf>
    <xf numFmtId="0" fontId="36" fillId="5" borderId="20" xfId="0" applyFont="1" applyFill="1" applyBorder="1" applyAlignment="1">
      <alignment wrapText="1"/>
    </xf>
    <xf numFmtId="4" fontId="10" fillId="0" borderId="12" xfId="0" applyNumberFormat="1" applyFont="1" applyFill="1" applyBorder="1" applyAlignment="1">
      <alignment horizontal="right" vertical="center"/>
    </xf>
    <xf numFmtId="165" fontId="10" fillId="0" borderId="9" xfId="15" applyFont="1" applyBorder="1" applyAlignment="1">
      <alignment horizontal="center" vertical="center"/>
    </xf>
    <xf numFmtId="165" fontId="10" fillId="0" borderId="11" xfId="15" applyFont="1" applyBorder="1" applyAlignment="1">
      <alignment horizontal="center" vertical="center"/>
    </xf>
    <xf numFmtId="171" fontId="13" fillId="0" borderId="9" xfId="0" applyNumberFormat="1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71" fontId="13" fillId="0" borderId="9" xfId="0" applyNumberFormat="1" applyFont="1" applyBorder="1" applyAlignment="1">
      <alignment horizontal="left"/>
    </xf>
    <xf numFmtId="0" fontId="13" fillId="0" borderId="10" xfId="0" applyFont="1" applyBorder="1" applyAlignment="1">
      <alignment horizontal="center"/>
    </xf>
    <xf numFmtId="0" fontId="13" fillId="0" borderId="9" xfId="0" applyFont="1" applyBorder="1" applyAlignment="1">
      <alignment horizontal="left"/>
    </xf>
    <xf numFmtId="0" fontId="13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0" fillId="0" borderId="9" xfId="0" applyFont="1" applyBorder="1"/>
    <xf numFmtId="0" fontId="8" fillId="0" borderId="9" xfId="0" applyFont="1" applyFill="1" applyBorder="1" applyAlignment="1">
      <alignment vertical="center" wrapText="1"/>
    </xf>
    <xf numFmtId="165" fontId="8" fillId="0" borderId="7" xfId="17" applyFont="1" applyFill="1" applyBorder="1" applyAlignment="1">
      <alignment horizontal="center" vertical="center"/>
    </xf>
    <xf numFmtId="165" fontId="8" fillId="0" borderId="10" xfId="17" applyFont="1" applyFill="1" applyBorder="1" applyAlignment="1">
      <alignment horizontal="center" vertical="center"/>
    </xf>
    <xf numFmtId="165" fontId="13" fillId="0" borderId="10" xfId="17" applyFont="1" applyFill="1" applyBorder="1" applyAlignment="1">
      <alignment horizontal="center" vertical="center"/>
    </xf>
    <xf numFmtId="165" fontId="8" fillId="0" borderId="9" xfId="0" applyNumberFormat="1" applyFont="1" applyBorder="1" applyAlignment="1">
      <alignment horizontal="left" vertical="center" wrapText="1"/>
    </xf>
    <xf numFmtId="165" fontId="8" fillId="0" borderId="9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vertical="center" wrapText="1"/>
    </xf>
    <xf numFmtId="165" fontId="31" fillId="0" borderId="10" xfId="15" applyFont="1" applyFill="1" applyBorder="1"/>
    <xf numFmtId="0" fontId="46" fillId="0" borderId="7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165" fontId="10" fillId="0" borderId="12" xfId="15" applyFont="1" applyFill="1" applyBorder="1" applyAlignment="1">
      <alignment vertical="center"/>
    </xf>
    <xf numFmtId="177" fontId="33" fillId="0" borderId="7" xfId="0" applyNumberFormat="1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wrapText="1"/>
    </xf>
    <xf numFmtId="165" fontId="31" fillId="0" borderId="10" xfId="15" applyFont="1" applyFill="1" applyBorder="1" applyAlignment="1">
      <alignment horizontal="center" vertical="center"/>
    </xf>
    <xf numFmtId="165" fontId="8" fillId="0" borderId="36" xfId="0" applyNumberFormat="1" applyFont="1" applyFill="1" applyBorder="1" applyAlignment="1">
      <alignment vertical="center"/>
    </xf>
    <xf numFmtId="43" fontId="13" fillId="0" borderId="61" xfId="15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47" fillId="0" borderId="7" xfId="0" applyFont="1" applyBorder="1"/>
    <xf numFmtId="4" fontId="2" fillId="0" borderId="7" xfId="6" applyNumberFormat="1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4" fontId="5" fillId="0" borderId="0" xfId="6" applyNumberFormat="1" applyAlignment="1">
      <alignment vertical="center"/>
    </xf>
    <xf numFmtId="174" fontId="5" fillId="0" borderId="0" xfId="6" applyNumberFormat="1" applyAlignment="1">
      <alignment vertical="center"/>
    </xf>
    <xf numFmtId="4" fontId="2" fillId="9" borderId="36" xfId="6" applyNumberFormat="1" applyFont="1" applyFill="1" applyBorder="1" applyAlignment="1">
      <alignment horizontal="center" vertical="center" textRotation="90"/>
    </xf>
    <xf numFmtId="0" fontId="5" fillId="0" borderId="7" xfId="6" applyBorder="1"/>
    <xf numFmtId="0" fontId="31" fillId="0" borderId="7" xfId="6" applyFont="1" applyBorder="1" applyAlignment="1">
      <alignment horizontal="justify" vertical="center" wrapText="1"/>
    </xf>
    <xf numFmtId="0" fontId="31" fillId="0" borderId="7" xfId="6" applyFont="1" applyFill="1" applyBorder="1" applyAlignment="1">
      <alignment horizontal="justify" vertical="center" wrapText="1"/>
    </xf>
    <xf numFmtId="0" fontId="8" fillId="0" borderId="15" xfId="6" applyFont="1" applyFill="1" applyBorder="1" applyAlignment="1">
      <alignment horizontal="justify" vertical="center" wrapText="1"/>
    </xf>
    <xf numFmtId="0" fontId="4" fillId="0" borderId="39" xfId="6" applyFont="1" applyBorder="1" applyAlignment="1">
      <alignment horizontal="center" vertical="center"/>
    </xf>
    <xf numFmtId="165" fontId="28" fillId="0" borderId="17" xfId="6" applyNumberFormat="1" applyFont="1" applyBorder="1" applyAlignment="1">
      <alignment vertical="center"/>
    </xf>
    <xf numFmtId="165" fontId="28" fillId="0" borderId="18" xfId="6" applyNumberFormat="1" applyFont="1" applyBorder="1" applyAlignment="1">
      <alignment vertical="center"/>
    </xf>
    <xf numFmtId="0" fontId="31" fillId="0" borderId="15" xfId="6" applyFont="1" applyBorder="1" applyAlignment="1">
      <alignment horizontal="justify" vertical="center" wrapText="1"/>
    </xf>
    <xf numFmtId="43" fontId="5" fillId="0" borderId="0" xfId="6" applyNumberFormat="1" applyAlignment="1">
      <alignment horizontal="left" vertical="center"/>
    </xf>
    <xf numFmtId="9" fontId="20" fillId="0" borderId="15" xfId="6" applyNumberFormat="1" applyFont="1" applyFill="1" applyBorder="1" applyAlignment="1">
      <alignment horizontal="center" vertical="center"/>
    </xf>
    <xf numFmtId="10" fontId="2" fillId="0" borderId="15" xfId="6" applyNumberFormat="1" applyFont="1" applyFill="1" applyBorder="1" applyAlignment="1">
      <alignment horizontal="center" vertical="center" textRotation="90"/>
    </xf>
    <xf numFmtId="0" fontId="11" fillId="0" borderId="31" xfId="6" applyFont="1" applyFill="1" applyBorder="1" applyAlignment="1">
      <alignment horizontal="center" vertical="center"/>
    </xf>
    <xf numFmtId="0" fontId="8" fillId="0" borderId="34" xfId="6" applyFont="1" applyFill="1" applyBorder="1" applyAlignment="1">
      <alignment horizontal="justify" vertical="center" wrapText="1"/>
    </xf>
    <xf numFmtId="9" fontId="20" fillId="0" borderId="34" xfId="6" applyNumberFormat="1" applyFont="1" applyFill="1" applyBorder="1" applyAlignment="1">
      <alignment horizontal="center" vertical="center"/>
    </xf>
    <xf numFmtId="4" fontId="2" fillId="0" borderId="34" xfId="6" applyNumberFormat="1" applyFont="1" applyFill="1" applyBorder="1" applyAlignment="1">
      <alignment horizontal="center" vertical="center" textRotation="90"/>
    </xf>
    <xf numFmtId="9" fontId="41" fillId="0" borderId="34" xfId="6" applyNumberFormat="1" applyFont="1" applyFill="1" applyBorder="1" applyAlignment="1">
      <alignment horizontal="center" vertical="center" textRotation="90"/>
    </xf>
    <xf numFmtId="10" fontId="4" fillId="0" borderId="29" xfId="6" applyNumberFormat="1" applyFont="1" applyFill="1" applyBorder="1" applyAlignment="1">
      <alignment horizontal="center" vertical="center"/>
    </xf>
    <xf numFmtId="0" fontId="4" fillId="0" borderId="7" xfId="6" applyFont="1" applyBorder="1" applyAlignment="1">
      <alignment vertical="center"/>
    </xf>
    <xf numFmtId="0" fontId="4" fillId="0" borderId="36" xfId="6" applyFont="1" applyBorder="1" applyAlignment="1">
      <alignment vertical="center"/>
    </xf>
    <xf numFmtId="0" fontId="8" fillId="0" borderId="7" xfId="0" applyFont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4" fillId="0" borderId="36" xfId="6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0" fontId="1" fillId="0" borderId="0" xfId="0" applyFont="1"/>
    <xf numFmtId="0" fontId="48" fillId="14" borderId="67" xfId="0" applyFont="1" applyFill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68" xfId="0" applyFont="1" applyBorder="1"/>
    <xf numFmtId="0" fontId="0" fillId="0" borderId="68" xfId="0" applyBorder="1"/>
    <xf numFmtId="0" fontId="0" fillId="0" borderId="68" xfId="0" applyBorder="1" applyAlignment="1">
      <alignment horizontal="center" vertical="center"/>
    </xf>
    <xf numFmtId="0" fontId="49" fillId="14" borderId="67" xfId="0" applyFont="1" applyFill="1" applyBorder="1" applyAlignment="1">
      <alignment horizontal="center"/>
    </xf>
    <xf numFmtId="4" fontId="0" fillId="0" borderId="68" xfId="0" applyNumberFormat="1" applyBorder="1"/>
    <xf numFmtId="0" fontId="31" fillId="0" borderId="7" xfId="0" applyFont="1" applyBorder="1" applyAlignment="1">
      <alignment horizontal="center" vertical="center"/>
    </xf>
    <xf numFmtId="10" fontId="30" fillId="0" borderId="7" xfId="0" applyNumberFormat="1" applyFont="1" applyBorder="1"/>
    <xf numFmtId="0" fontId="31" fillId="0" borderId="7" xfId="0" applyFont="1" applyBorder="1" applyAlignment="1">
      <alignment horizontal="center"/>
    </xf>
    <xf numFmtId="0" fontId="30" fillId="0" borderId="9" xfId="0" applyFont="1" applyFill="1" applyBorder="1"/>
    <xf numFmtId="165" fontId="30" fillId="0" borderId="10" xfId="15" applyFont="1" applyBorder="1"/>
    <xf numFmtId="0" fontId="31" fillId="0" borderId="39" xfId="30" applyFont="1" applyFill="1" applyBorder="1" applyAlignment="1">
      <alignment horizontal="right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0" fontId="36" fillId="0" borderId="7" xfId="0" applyFont="1" applyBorder="1" applyAlignment="1">
      <alignment horizontal="center"/>
    </xf>
    <xf numFmtId="165" fontId="36" fillId="0" borderId="10" xfId="17" applyFont="1" applyFill="1" applyBorder="1" applyAlignment="1">
      <alignment horizontal="center"/>
    </xf>
    <xf numFmtId="0" fontId="36" fillId="0" borderId="9" xfId="0" applyFont="1" applyFill="1" applyBorder="1"/>
    <xf numFmtId="10" fontId="36" fillId="0" borderId="7" xfId="0" applyNumberFormat="1" applyFont="1" applyFill="1" applyBorder="1" applyAlignment="1">
      <alignment horizontal="center"/>
    </xf>
    <xf numFmtId="1" fontId="36" fillId="0" borderId="7" xfId="0" applyNumberFormat="1" applyFont="1" applyBorder="1" applyAlignment="1">
      <alignment horizontal="center"/>
    </xf>
    <xf numFmtId="165" fontId="36" fillId="0" borderId="7" xfId="17" applyFont="1" applyBorder="1" applyAlignment="1">
      <alignment horizontal="center"/>
    </xf>
    <xf numFmtId="165" fontId="37" fillId="0" borderId="10" xfId="17" applyFont="1" applyBorder="1" applyAlignment="1">
      <alignment horizontal="center"/>
    </xf>
    <xf numFmtId="10" fontId="36" fillId="0" borderId="7" xfId="0" applyNumberFormat="1" applyFont="1" applyBorder="1" applyAlignment="1">
      <alignment horizontal="center"/>
    </xf>
    <xf numFmtId="0" fontId="36" fillId="0" borderId="7" xfId="0" applyFont="1" applyBorder="1"/>
    <xf numFmtId="165" fontId="36" fillId="0" borderId="7" xfId="15" applyFont="1" applyBorder="1" applyAlignment="1">
      <alignment horizontal="center"/>
    </xf>
    <xf numFmtId="165" fontId="36" fillId="0" borderId="10" xfId="15" applyFont="1" applyBorder="1" applyAlignment="1">
      <alignment horizontal="center"/>
    </xf>
    <xf numFmtId="0" fontId="36" fillId="0" borderId="37" xfId="0" applyFont="1" applyFill="1" applyBorder="1"/>
    <xf numFmtId="0" fontId="36" fillId="0" borderId="37" xfId="0" applyFont="1" applyFill="1" applyBorder="1" applyAlignment="1">
      <alignment horizontal="center"/>
    </xf>
    <xf numFmtId="0" fontId="36" fillId="0" borderId="3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justify" vertical="center" wrapText="1"/>
    </xf>
    <xf numFmtId="1" fontId="23" fillId="0" borderId="7" xfId="0" applyNumberFormat="1" applyFont="1" applyFill="1" applyBorder="1" applyAlignment="1">
      <alignment horizontal="center"/>
    </xf>
    <xf numFmtId="165" fontId="23" fillId="0" borderId="10" xfId="15" applyFont="1" applyFill="1" applyBorder="1" applyAlignment="1">
      <alignment vertical="center"/>
    </xf>
    <xf numFmtId="0" fontId="8" fillId="0" borderId="0" xfId="0" applyFont="1" applyFill="1" applyBorder="1" applyAlignment="1">
      <alignment horizontal="center"/>
    </xf>
    <xf numFmtId="10" fontId="8" fillId="0" borderId="7" xfId="0" applyNumberFormat="1" applyFont="1" applyFill="1" applyBorder="1" applyAlignment="1">
      <alignment horizontal="center"/>
    </xf>
    <xf numFmtId="165" fontId="31" fillId="0" borderId="10" xfId="17" applyFont="1" applyFill="1" applyBorder="1" applyAlignment="1">
      <alignment horizontal="center"/>
    </xf>
    <xf numFmtId="0" fontId="31" fillId="0" borderId="9" xfId="0" applyFont="1" applyFill="1" applyBorder="1" applyAlignment="1">
      <alignment horizontal="right"/>
    </xf>
    <xf numFmtId="165" fontId="31" fillId="0" borderId="10" xfId="17" applyFont="1" applyBorder="1" applyAlignment="1">
      <alignment horizontal="center"/>
    </xf>
    <xf numFmtId="0" fontId="31" fillId="0" borderId="9" xfId="0" applyFont="1" applyFill="1" applyBorder="1" applyAlignment="1">
      <alignment horizontal="right" wrapText="1"/>
    </xf>
    <xf numFmtId="165" fontId="30" fillId="0" borderId="10" xfId="17" applyFont="1" applyBorder="1" applyAlignment="1">
      <alignment horizontal="center"/>
    </xf>
    <xf numFmtId="165" fontId="31" fillId="0" borderId="7" xfId="17" applyFont="1" applyFill="1" applyBorder="1" applyAlignment="1">
      <alignment horizontal="center"/>
    </xf>
    <xf numFmtId="0" fontId="8" fillId="0" borderId="7" xfId="33" applyFont="1" applyBorder="1" applyAlignment="1">
      <alignment horizontal="center"/>
    </xf>
    <xf numFmtId="0" fontId="8" fillId="0" borderId="7" xfId="33" applyFont="1" applyBorder="1"/>
    <xf numFmtId="0" fontId="13" fillId="0" borderId="9" xfId="33" applyFont="1" applyFill="1" applyBorder="1"/>
    <xf numFmtId="9" fontId="8" fillId="0" borderId="7" xfId="33" applyNumberFormat="1" applyFont="1" applyBorder="1" applyAlignment="1">
      <alignment horizontal="center"/>
    </xf>
    <xf numFmtId="10" fontId="8" fillId="0" borderId="7" xfId="33" applyNumberFormat="1" applyFont="1" applyBorder="1"/>
    <xf numFmtId="0" fontId="8" fillId="0" borderId="7" xfId="33" applyFont="1" applyBorder="1"/>
    <xf numFmtId="0" fontId="30" fillId="0" borderId="9" xfId="33" applyFont="1" applyFill="1" applyBorder="1"/>
    <xf numFmtId="0" fontId="8" fillId="0" borderId="7" xfId="33" applyFont="1" applyBorder="1" applyAlignment="1">
      <alignment horizontal="center"/>
    </xf>
    <xf numFmtId="0" fontId="13" fillId="0" borderId="10" xfId="0" applyFont="1" applyBorder="1" applyAlignment="1">
      <alignment horizontal="center" vertical="center"/>
    </xf>
    <xf numFmtId="1" fontId="30" fillId="0" borderId="7" xfId="0" applyNumberFormat="1" applyFont="1" applyBorder="1" applyAlignment="1">
      <alignment horizontal="center"/>
    </xf>
    <xf numFmtId="10" fontId="8" fillId="9" borderId="7" xfId="17" applyNumberFormat="1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10" xfId="0" applyFont="1" applyFill="1" applyBorder="1"/>
    <xf numFmtId="0" fontId="30" fillId="0" borderId="7" xfId="0" applyFont="1" applyBorder="1"/>
    <xf numFmtId="0" fontId="13" fillId="0" borderId="9" xfId="0" applyFont="1" applyBorder="1" applyAlignment="1">
      <alignment vertical="center"/>
    </xf>
    <xf numFmtId="0" fontId="8" fillId="0" borderId="0" xfId="0" applyFont="1" applyBorder="1" applyAlignment="1">
      <alignment horizontal="center" wrapText="1"/>
    </xf>
    <xf numFmtId="165" fontId="8" fillId="9" borderId="7" xfId="17" applyFont="1" applyFill="1" applyBorder="1" applyAlignment="1">
      <alignment horizontal="center"/>
    </xf>
    <xf numFmtId="165" fontId="8" fillId="9" borderId="10" xfId="17" applyFont="1" applyFill="1" applyBorder="1" applyAlignment="1">
      <alignment horizontal="center"/>
    </xf>
    <xf numFmtId="0" fontId="13" fillId="9" borderId="9" xfId="0" applyFont="1" applyFill="1" applyBorder="1"/>
    <xf numFmtId="0" fontId="31" fillId="0" borderId="9" xfId="0" applyFont="1" applyBorder="1" applyAlignment="1">
      <alignment horizontal="right" vertical="center"/>
    </xf>
    <xf numFmtId="0" fontId="31" fillId="0" borderId="9" xfId="0" applyFont="1" applyBorder="1"/>
    <xf numFmtId="165" fontId="36" fillId="0" borderId="37" xfId="10" applyFont="1" applyFill="1" applyBorder="1" applyAlignment="1">
      <alignment horizontal="center"/>
    </xf>
    <xf numFmtId="0" fontId="36" fillId="0" borderId="37" xfId="0" applyFont="1" applyBorder="1"/>
    <xf numFmtId="165" fontId="13" fillId="0" borderId="38" xfId="10" applyFont="1" applyFill="1" applyBorder="1" applyAlignment="1">
      <alignment horizontal="center"/>
    </xf>
    <xf numFmtId="10" fontId="8" fillId="9" borderId="7" xfId="0" applyNumberFormat="1" applyFont="1" applyFill="1" applyBorder="1" applyAlignment="1">
      <alignment horizontal="center"/>
    </xf>
    <xf numFmtId="0" fontId="30" fillId="0" borderId="7" xfId="0" applyFont="1" applyBorder="1" applyAlignment="1">
      <alignment horizontal="center"/>
    </xf>
    <xf numFmtId="43" fontId="13" fillId="0" borderId="10" xfId="0" applyNumberFormat="1" applyFont="1" applyBorder="1" applyAlignment="1">
      <alignment vertical="center"/>
    </xf>
    <xf numFmtId="0" fontId="13" fillId="9" borderId="7" xfId="0" applyFont="1" applyFill="1" applyBorder="1" applyAlignment="1">
      <alignment horizontal="center"/>
    </xf>
    <xf numFmtId="165" fontId="13" fillId="0" borderId="10" xfId="10" applyFont="1" applyFill="1" applyBorder="1" applyAlignment="1">
      <alignment horizontal="center"/>
    </xf>
    <xf numFmtId="165" fontId="31" fillId="0" borderId="9" xfId="0" applyNumberFormat="1" applyFont="1" applyBorder="1" applyAlignment="1">
      <alignment horizontal="right" vertical="center" wrapText="1"/>
    </xf>
    <xf numFmtId="165" fontId="13" fillId="0" borderId="9" xfId="0" applyNumberFormat="1" applyFont="1" applyBorder="1" applyAlignment="1">
      <alignment horizontal="right" vertical="center" wrapText="1"/>
    </xf>
    <xf numFmtId="165" fontId="13" fillId="0" borderId="24" xfId="17" applyFont="1" applyFill="1" applyBorder="1" applyAlignment="1">
      <alignment horizontal="center" vertical="center" wrapText="1"/>
    </xf>
    <xf numFmtId="0" fontId="13" fillId="0" borderId="9" xfId="33" applyFont="1" applyBorder="1"/>
    <xf numFmtId="165" fontId="8" fillId="0" borderId="7" xfId="10" applyFont="1" applyFill="1" applyBorder="1" applyAlignment="1">
      <alignment horizontal="center"/>
    </xf>
    <xf numFmtId="165" fontId="13" fillId="9" borderId="10" xfId="17" applyFont="1" applyFill="1" applyBorder="1" applyAlignment="1">
      <alignment horizontal="center"/>
    </xf>
    <xf numFmtId="0" fontId="8" fillId="9" borderId="7" xfId="0" applyFont="1" applyFill="1" applyBorder="1"/>
    <xf numFmtId="165" fontId="8" fillId="0" borderId="7" xfId="15" applyFont="1" applyBorder="1" applyAlignment="1">
      <alignment horizontal="center"/>
    </xf>
    <xf numFmtId="165" fontId="8" fillId="0" borderId="7" xfId="15" applyFont="1" applyFill="1" applyBorder="1" applyAlignment="1">
      <alignment horizontal="center"/>
    </xf>
    <xf numFmtId="165" fontId="13" fillId="0" borderId="10" xfId="15" applyFont="1" applyBorder="1" applyAlignment="1">
      <alignment horizontal="center"/>
    </xf>
    <xf numFmtId="165" fontId="8" fillId="0" borderId="10" xfId="15" applyFont="1" applyBorder="1" applyAlignment="1">
      <alignment horizontal="center"/>
    </xf>
    <xf numFmtId="165" fontId="13" fillId="0" borderId="10" xfId="15" applyFont="1" applyFill="1" applyBorder="1" applyAlignment="1">
      <alignment horizontal="center"/>
    </xf>
    <xf numFmtId="0" fontId="13" fillId="0" borderId="9" xfId="33" applyFont="1" applyFill="1" applyBorder="1"/>
    <xf numFmtId="9" fontId="8" fillId="0" borderId="7" xfId="33" applyNumberFormat="1" applyFont="1" applyBorder="1" applyAlignment="1">
      <alignment horizontal="center"/>
    </xf>
    <xf numFmtId="10" fontId="8" fillId="0" borderId="7" xfId="33" applyNumberFormat="1" applyFont="1" applyBorder="1"/>
    <xf numFmtId="165" fontId="13" fillId="0" borderId="10" xfId="15" applyFont="1" applyFill="1" applyBorder="1" applyAlignment="1">
      <alignment horizontal="center" vertical="center"/>
    </xf>
    <xf numFmtId="0" fontId="8" fillId="0" borderId="7" xfId="33" applyFont="1" applyBorder="1"/>
    <xf numFmtId="0" fontId="31" fillId="0" borderId="7" xfId="33" applyFont="1" applyBorder="1" applyAlignment="1">
      <alignment horizontal="center" vertical="center"/>
    </xf>
    <xf numFmtId="0" fontId="31" fillId="0" borderId="7" xfId="33" applyFont="1" applyBorder="1" applyAlignment="1">
      <alignment horizontal="center"/>
    </xf>
    <xf numFmtId="0" fontId="30" fillId="0" borderId="9" xfId="33" applyFont="1" applyFill="1" applyBorder="1"/>
    <xf numFmtId="165" fontId="36" fillId="0" borderId="7" xfId="15" applyFont="1" applyBorder="1" applyAlignment="1">
      <alignment horizontal="center"/>
    </xf>
    <xf numFmtId="0" fontId="8" fillId="0" borderId="7" xfId="33" applyFont="1" applyBorder="1" applyAlignment="1">
      <alignment horizontal="center"/>
    </xf>
    <xf numFmtId="0" fontId="13" fillId="9" borderId="10" xfId="0" applyFont="1" applyFill="1" applyBorder="1" applyAlignment="1">
      <alignment horizontal="center"/>
    </xf>
    <xf numFmtId="0" fontId="8" fillId="9" borderId="9" xfId="0" applyFont="1" applyFill="1" applyBorder="1"/>
    <xf numFmtId="1" fontId="8" fillId="9" borderId="7" xfId="0" applyNumberFormat="1" applyFont="1" applyFill="1" applyBorder="1" applyAlignment="1">
      <alignment horizontal="center"/>
    </xf>
    <xf numFmtId="0" fontId="13" fillId="9" borderId="7" xfId="0" applyFont="1" applyFill="1" applyBorder="1" applyAlignment="1">
      <alignment horizontal="center" vertical="center"/>
    </xf>
    <xf numFmtId="0" fontId="13" fillId="9" borderId="10" xfId="0" applyFont="1" applyFill="1" applyBorder="1" applyAlignment="1">
      <alignment horizontal="center" vertical="center"/>
    </xf>
    <xf numFmtId="165" fontId="13" fillId="9" borderId="22" xfId="0" applyNumberFormat="1" applyFont="1" applyFill="1" applyBorder="1" applyAlignment="1"/>
    <xf numFmtId="1" fontId="36" fillId="0" borderId="37" xfId="0" applyNumberFormat="1" applyFont="1" applyBorder="1" applyAlignment="1">
      <alignment horizontal="center"/>
    </xf>
    <xf numFmtId="165" fontId="36" fillId="0" borderId="37" xfId="15" applyFont="1" applyBorder="1" applyAlignment="1">
      <alignment horizontal="center"/>
    </xf>
    <xf numFmtId="0" fontId="13" fillId="0" borderId="17" xfId="0" applyFont="1" applyBorder="1"/>
    <xf numFmtId="0" fontId="8" fillId="0" borderId="18" xfId="0" applyFont="1" applyBorder="1" applyAlignment="1">
      <alignment horizontal="center"/>
    </xf>
    <xf numFmtId="0" fontId="8" fillId="0" borderId="23" xfId="0" applyFont="1" applyFill="1" applyBorder="1"/>
    <xf numFmtId="165" fontId="8" fillId="0" borderId="18" xfId="15" applyFont="1" applyBorder="1" applyAlignment="1">
      <alignment horizontal="center"/>
    </xf>
    <xf numFmtId="165" fontId="30" fillId="0" borderId="22" xfId="15" applyFont="1" applyBorder="1" applyAlignment="1">
      <alignment horizontal="center"/>
    </xf>
    <xf numFmtId="0" fontId="13" fillId="0" borderId="7" xfId="0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/>
    </xf>
    <xf numFmtId="165" fontId="13" fillId="0" borderId="38" xfId="15" applyFont="1" applyBorder="1" applyAlignment="1">
      <alignment horizontal="center"/>
    </xf>
    <xf numFmtId="165" fontId="30" fillId="0" borderId="10" xfId="15" applyFont="1" applyBorder="1" applyAlignment="1">
      <alignment horizontal="center"/>
    </xf>
    <xf numFmtId="0" fontId="31" fillId="0" borderId="9" xfId="0" applyFont="1" applyFill="1" applyBorder="1" applyAlignment="1">
      <alignment horizontal="right" vertical="center"/>
    </xf>
    <xf numFmtId="3" fontId="8" fillId="0" borderId="7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37" xfId="0" applyFont="1" applyFill="1" applyBorder="1" applyAlignment="1">
      <alignment horizontal="center"/>
    </xf>
    <xf numFmtId="0" fontId="13" fillId="0" borderId="52" xfId="0" applyFont="1" applyFill="1" applyBorder="1" applyAlignment="1">
      <alignment horizontal="right" wrapText="1"/>
    </xf>
    <xf numFmtId="0" fontId="13" fillId="0" borderId="9" xfId="0" applyFont="1" applyFill="1" applyBorder="1" applyAlignment="1">
      <alignment horizontal="right" wrapText="1"/>
    </xf>
    <xf numFmtId="0" fontId="8" fillId="0" borderId="7" xfId="0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21" xfId="0" applyFont="1" applyFill="1" applyBorder="1"/>
    <xf numFmtId="0" fontId="8" fillId="0" borderId="1" xfId="0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165" fontId="8" fillId="0" borderId="2" xfId="15" applyFont="1" applyBorder="1"/>
    <xf numFmtId="165" fontId="8" fillId="0" borderId="36" xfId="0" applyNumberFormat="1" applyFont="1" applyBorder="1"/>
    <xf numFmtId="165" fontId="13" fillId="0" borderId="61" xfId="15" applyFont="1" applyFill="1" applyBorder="1"/>
    <xf numFmtId="171" fontId="13" fillId="0" borderId="9" xfId="0" applyNumberFormat="1" applyFont="1" applyBorder="1" applyAlignment="1">
      <alignment horizontal="left"/>
    </xf>
    <xf numFmtId="0" fontId="13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" fontId="2" fillId="0" borderId="7" xfId="6" applyNumberFormat="1" applyFont="1" applyFill="1" applyBorder="1" applyAlignment="1">
      <alignment horizontal="center" vertical="center" textRotation="90"/>
    </xf>
    <xf numFmtId="0" fontId="13" fillId="0" borderId="10" xfId="0" applyFont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3" fillId="0" borderId="9" xfId="0" applyFont="1" applyBorder="1" applyAlignment="1">
      <alignment horizontal="left"/>
    </xf>
    <xf numFmtId="0" fontId="36" fillId="0" borderId="9" xfId="0" applyFont="1" applyFill="1" applyBorder="1" applyAlignment="1">
      <alignment vertical="center"/>
    </xf>
    <xf numFmtId="0" fontId="36" fillId="0" borderId="7" xfId="0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 wrapText="1"/>
    </xf>
    <xf numFmtId="165" fontId="36" fillId="0" borderId="7" xfId="17" applyFont="1" applyFill="1" applyBorder="1" applyAlignment="1">
      <alignment horizontal="center" vertical="center"/>
    </xf>
    <xf numFmtId="165" fontId="36" fillId="0" borderId="10" xfId="17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vertical="center" wrapText="1"/>
    </xf>
    <xf numFmtId="0" fontId="5" fillId="0" borderId="0" xfId="6" applyFill="1"/>
    <xf numFmtId="0" fontId="11" fillId="0" borderId="32" xfId="6" applyFont="1" applyFill="1" applyBorder="1" applyAlignment="1">
      <alignment horizontal="center" vertical="center"/>
    </xf>
    <xf numFmtId="9" fontId="20" fillId="0" borderId="30" xfId="6" applyNumberFormat="1" applyFont="1" applyFill="1" applyBorder="1" applyAlignment="1">
      <alignment horizontal="center" vertical="center"/>
    </xf>
    <xf numFmtId="4" fontId="2" fillId="0" borderId="30" xfId="6" applyNumberFormat="1" applyFont="1" applyFill="1" applyBorder="1" applyAlignment="1">
      <alignment horizontal="center" vertical="center" textRotation="90"/>
    </xf>
    <xf numFmtId="4" fontId="2" fillId="9" borderId="30" xfId="6" applyNumberFormat="1" applyFont="1" applyFill="1" applyBorder="1" applyAlignment="1">
      <alignment horizontal="center" vertical="center" textRotation="90"/>
    </xf>
    <xf numFmtId="4" fontId="2" fillId="0" borderId="59" xfId="6" applyNumberFormat="1" applyFont="1" applyFill="1" applyBorder="1" applyAlignment="1">
      <alignment horizontal="center" vertical="center" textRotation="90"/>
    </xf>
    <xf numFmtId="4" fontId="4" fillId="0" borderId="33" xfId="6" applyNumberFormat="1" applyFont="1" applyFill="1" applyBorder="1" applyAlignment="1">
      <alignment horizontal="center" vertical="center"/>
    </xf>
    <xf numFmtId="0" fontId="31" fillId="0" borderId="30" xfId="6" applyFont="1" applyBorder="1" applyAlignment="1">
      <alignment horizontal="justify" vertical="center" wrapText="1"/>
    </xf>
    <xf numFmtId="0" fontId="46" fillId="13" borderId="36" xfId="0" applyFont="1" applyFill="1" applyBorder="1" applyAlignment="1">
      <alignment horizontal="center" vertical="center" wrapText="1"/>
    </xf>
    <xf numFmtId="0" fontId="46" fillId="13" borderId="39" xfId="0" applyFont="1" applyFill="1" applyBorder="1" applyAlignment="1">
      <alignment horizontal="center" vertical="center" wrapText="1"/>
    </xf>
    <xf numFmtId="165" fontId="8" fillId="0" borderId="40" xfId="15" applyFont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165" fontId="8" fillId="0" borderId="36" xfId="15" applyFont="1" applyBorder="1" applyAlignment="1">
      <alignment horizontal="left" vertical="center" wrapText="1"/>
    </xf>
    <xf numFmtId="165" fontId="8" fillId="0" borderId="37" xfId="15" applyFont="1" applyBorder="1" applyAlignment="1">
      <alignment horizontal="left" vertical="center" wrapText="1"/>
    </xf>
    <xf numFmtId="0" fontId="0" fillId="0" borderId="38" xfId="0" applyBorder="1" applyAlignment="1">
      <alignment vertical="center" wrapText="1"/>
    </xf>
    <xf numFmtId="165" fontId="10" fillId="0" borderId="7" xfId="15" applyFont="1" applyBorder="1" applyAlignment="1">
      <alignment horizontal="left" vertical="center"/>
    </xf>
    <xf numFmtId="165" fontId="10" fillId="0" borderId="10" xfId="15" applyFont="1" applyBorder="1" applyAlignment="1">
      <alignment horizontal="left" vertical="center"/>
    </xf>
    <xf numFmtId="165" fontId="8" fillId="0" borderId="7" xfId="15" applyFont="1" applyBorder="1" applyAlignment="1">
      <alignment horizontal="left" vertical="center"/>
    </xf>
    <xf numFmtId="165" fontId="8" fillId="0" borderId="12" xfId="15" applyFont="1" applyBorder="1" applyAlignment="1">
      <alignment horizontal="left" vertical="center"/>
    </xf>
    <xf numFmtId="165" fontId="8" fillId="0" borderId="36" xfId="15" applyFont="1" applyBorder="1" applyAlignment="1">
      <alignment horizontal="right" vertical="center"/>
    </xf>
    <xf numFmtId="165" fontId="8" fillId="0" borderId="39" xfId="15" applyFont="1" applyBorder="1" applyAlignment="1">
      <alignment horizontal="right" vertical="center"/>
    </xf>
    <xf numFmtId="165" fontId="8" fillId="0" borderId="40" xfId="15" applyFont="1" applyBorder="1" applyAlignment="1">
      <alignment horizontal="right" vertical="center"/>
    </xf>
    <xf numFmtId="165" fontId="8" fillId="0" borderId="28" xfId="15" applyFont="1" applyBorder="1" applyAlignment="1">
      <alignment horizontal="right" vertical="center"/>
    </xf>
    <xf numFmtId="165" fontId="13" fillId="2" borderId="36" xfId="15" applyFont="1" applyFill="1" applyBorder="1" applyAlignment="1">
      <alignment horizontal="center" vertical="center"/>
    </xf>
    <xf numFmtId="165" fontId="13" fillId="2" borderId="37" xfId="15" applyFont="1" applyFill="1" applyBorder="1" applyAlignment="1">
      <alignment horizontal="center" vertical="center"/>
    </xf>
    <xf numFmtId="165" fontId="13" fillId="2" borderId="39" xfId="15" applyFont="1" applyFill="1" applyBorder="1" applyAlignment="1">
      <alignment horizontal="center" vertical="center"/>
    </xf>
    <xf numFmtId="165" fontId="13" fillId="2" borderId="5" xfId="15" applyFont="1" applyFill="1" applyBorder="1" applyAlignment="1">
      <alignment horizontal="center" vertical="center"/>
    </xf>
    <xf numFmtId="165" fontId="13" fillId="2" borderId="6" xfId="15" applyFont="1" applyFill="1" applyBorder="1" applyAlignment="1">
      <alignment horizontal="center" vertical="center"/>
    </xf>
    <xf numFmtId="165" fontId="13" fillId="2" borderId="8" xfId="15" applyFont="1" applyFill="1" applyBorder="1" applyAlignment="1">
      <alignment horizontal="center" vertical="center"/>
    </xf>
    <xf numFmtId="165" fontId="13" fillId="2" borderId="9" xfId="15" applyFont="1" applyFill="1" applyBorder="1" applyAlignment="1">
      <alignment horizontal="center" vertical="center"/>
    </xf>
    <xf numFmtId="165" fontId="13" fillId="2" borderId="7" xfId="15" applyFont="1" applyFill="1" applyBorder="1" applyAlignment="1">
      <alignment horizontal="center" vertical="center"/>
    </xf>
    <xf numFmtId="165" fontId="12" fillId="2" borderId="7" xfId="15" applyFont="1" applyFill="1" applyBorder="1" applyAlignment="1">
      <alignment horizontal="center" vertical="center"/>
    </xf>
    <xf numFmtId="165" fontId="11" fillId="2" borderId="43" xfId="15" applyFont="1" applyFill="1" applyBorder="1" applyAlignment="1">
      <alignment horizontal="center" vertical="center"/>
    </xf>
    <xf numFmtId="165" fontId="11" fillId="2" borderId="44" xfId="15" applyFont="1" applyFill="1" applyBorder="1" applyAlignment="1">
      <alignment horizontal="center" vertical="center"/>
    </xf>
    <xf numFmtId="165" fontId="11" fillId="2" borderId="31" xfId="15" applyFont="1" applyFill="1" applyBorder="1" applyAlignment="1">
      <alignment horizontal="center" vertical="center"/>
    </xf>
    <xf numFmtId="165" fontId="11" fillId="2" borderId="34" xfId="15" applyFont="1" applyFill="1" applyBorder="1" applyAlignment="1">
      <alignment horizontal="center" vertical="center"/>
    </xf>
    <xf numFmtId="165" fontId="11" fillId="2" borderId="29" xfId="15" applyFont="1" applyFill="1" applyBorder="1" applyAlignment="1">
      <alignment horizontal="center" vertical="center"/>
    </xf>
    <xf numFmtId="165" fontId="11" fillId="2" borderId="48" xfId="15" applyFont="1" applyFill="1" applyBorder="1" applyAlignment="1">
      <alignment horizontal="center" vertical="center"/>
    </xf>
    <xf numFmtId="165" fontId="11" fillId="2" borderId="49" xfId="15" applyFont="1" applyFill="1" applyBorder="1" applyAlignment="1">
      <alignment horizontal="center" vertical="center"/>
    </xf>
    <xf numFmtId="165" fontId="11" fillId="2" borderId="50" xfId="15" applyFont="1" applyFill="1" applyBorder="1" applyAlignment="1">
      <alignment horizontal="center" vertical="center"/>
    </xf>
    <xf numFmtId="165" fontId="28" fillId="0" borderId="0" xfId="15" applyFont="1" applyBorder="1" applyAlignment="1">
      <alignment horizontal="justify" vertical="center" wrapText="1"/>
    </xf>
    <xf numFmtId="165" fontId="28" fillId="0" borderId="20" xfId="15" applyFont="1" applyBorder="1" applyAlignment="1">
      <alignment horizontal="justify" vertical="center" wrapText="1"/>
    </xf>
    <xf numFmtId="165" fontId="11" fillId="0" borderId="47" xfId="15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165" fontId="9" fillId="0" borderId="0" xfId="15" applyFont="1" applyAlignment="1">
      <alignment horizontal="center" vertical="center"/>
    </xf>
    <xf numFmtId="0" fontId="8" fillId="0" borderId="0" xfId="0" applyFont="1" applyAlignment="1">
      <alignment vertical="center"/>
    </xf>
    <xf numFmtId="165" fontId="11" fillId="2" borderId="45" xfId="15" applyFont="1" applyFill="1" applyBorder="1" applyAlignment="1">
      <alignment horizontal="center" vertical="center"/>
    </xf>
    <xf numFmtId="165" fontId="11" fillId="2" borderId="46" xfId="15" applyFont="1" applyFill="1" applyBorder="1" applyAlignment="1">
      <alignment horizontal="center" vertical="center"/>
    </xf>
    <xf numFmtId="1" fontId="42" fillId="0" borderId="7" xfId="0" applyNumberFormat="1" applyFont="1" applyFill="1" applyBorder="1" applyAlignment="1">
      <alignment horizontal="center" vertical="center"/>
    </xf>
    <xf numFmtId="0" fontId="44" fillId="0" borderId="7" xfId="0" applyFont="1" applyBorder="1" applyAlignment="1">
      <alignment horizontal="center" vertical="center"/>
    </xf>
    <xf numFmtId="0" fontId="42" fillId="0" borderId="9" xfId="0" applyFont="1" applyBorder="1" applyAlignment="1">
      <alignment horizontal="justify" vertical="center" wrapText="1"/>
    </xf>
    <xf numFmtId="0" fontId="44" fillId="0" borderId="9" xfId="0" applyFont="1" applyBorder="1" applyAlignment="1">
      <alignment horizontal="justify" vertical="center" wrapText="1"/>
    </xf>
    <xf numFmtId="0" fontId="42" fillId="0" borderId="7" xfId="0" applyFont="1" applyFill="1" applyBorder="1" applyAlignment="1">
      <alignment horizontal="center" vertical="center" wrapText="1"/>
    </xf>
    <xf numFmtId="0" fontId="44" fillId="0" borderId="7" xfId="0" applyFont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center" vertical="center"/>
    </xf>
    <xf numFmtId="0" fontId="13" fillId="0" borderId="43" xfId="0" applyFont="1" applyBorder="1" applyAlignment="1">
      <alignment horizontal="center" wrapText="1"/>
    </xf>
    <xf numFmtId="0" fontId="0" fillId="0" borderId="35" xfId="0" applyBorder="1" applyAlignment="1">
      <alignment wrapText="1"/>
    </xf>
    <xf numFmtId="0" fontId="0" fillId="0" borderId="46" xfId="0" applyBorder="1" applyAlignment="1">
      <alignment wrapText="1"/>
    </xf>
    <xf numFmtId="0" fontId="44" fillId="0" borderId="18" xfId="0" applyFont="1" applyBorder="1" applyAlignment="1">
      <alignment horizontal="center" vertical="center" wrapText="1"/>
    </xf>
    <xf numFmtId="1" fontId="42" fillId="0" borderId="7" xfId="0" applyNumberFormat="1" applyFont="1" applyBorder="1" applyAlignment="1">
      <alignment horizontal="center" vertical="center" wrapText="1"/>
    </xf>
    <xf numFmtId="0" fontId="13" fillId="0" borderId="43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3" fillId="0" borderId="9" xfId="0" applyFont="1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165" fontId="25" fillId="0" borderId="5" xfId="0" applyNumberFormat="1" applyFont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25" fillId="0" borderId="8" xfId="0" applyNumberFormat="1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171" fontId="13" fillId="0" borderId="9" xfId="0" applyNumberFormat="1" applyFont="1" applyBorder="1" applyAlignment="1">
      <alignment horizontal="left"/>
    </xf>
    <xf numFmtId="171" fontId="13" fillId="0" borderId="7" xfId="0" applyNumberFormat="1" applyFont="1" applyBorder="1" applyAlignment="1">
      <alignment horizontal="left"/>
    </xf>
    <xf numFmtId="171" fontId="13" fillId="0" borderId="10" xfId="0" applyNumberFormat="1" applyFont="1" applyBorder="1" applyAlignment="1">
      <alignment horizontal="left"/>
    </xf>
    <xf numFmtId="165" fontId="13" fillId="0" borderId="9" xfId="0" applyNumberFormat="1" applyFont="1" applyBorder="1" applyAlignment="1">
      <alignment horizontal="center"/>
    </xf>
    <xf numFmtId="165" fontId="13" fillId="0" borderId="7" xfId="0" applyNumberFormat="1" applyFont="1" applyBorder="1" applyAlignment="1">
      <alignment horizontal="center"/>
    </xf>
    <xf numFmtId="165" fontId="13" fillId="0" borderId="10" xfId="0" applyNumberFormat="1" applyFont="1" applyBorder="1" applyAlignment="1">
      <alignment horizontal="center"/>
    </xf>
    <xf numFmtId="0" fontId="13" fillId="0" borderId="52" xfId="0" applyFont="1" applyBorder="1" applyAlignment="1">
      <alignment horizontal="justify" vertical="center" wrapText="1"/>
    </xf>
    <xf numFmtId="0" fontId="0" fillId="0" borderId="37" xfId="0" applyBorder="1" applyAlignment="1">
      <alignment horizontal="justify" vertical="center" wrapText="1"/>
    </xf>
    <xf numFmtId="0" fontId="0" fillId="0" borderId="38" xfId="0" applyBorder="1" applyAlignment="1">
      <alignment wrapText="1"/>
    </xf>
    <xf numFmtId="0" fontId="25" fillId="4" borderId="5" xfId="0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8" xfId="0" applyBorder="1" applyAlignment="1">
      <alignment wrapText="1"/>
    </xf>
    <xf numFmtId="0" fontId="25" fillId="6" borderId="9" xfId="6" applyFont="1" applyFill="1" applyBorder="1" applyAlignment="1">
      <alignment horizontal="center" vertical="center" wrapText="1"/>
    </xf>
    <xf numFmtId="0" fontId="25" fillId="6" borderId="7" xfId="6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5" fillId="0" borderId="7" xfId="6" applyFont="1" applyBorder="1" applyAlignment="1">
      <alignment horizontal="left" vertical="center" wrapText="1"/>
    </xf>
    <xf numFmtId="0" fontId="28" fillId="0" borderId="7" xfId="6" applyFont="1" applyBorder="1" applyAlignment="1">
      <alignment horizontal="left" vertical="center" wrapText="1"/>
    </xf>
    <xf numFmtId="0" fontId="0" fillId="0" borderId="7" xfId="0" applyBorder="1" applyAlignment="1">
      <alignment wrapText="1"/>
    </xf>
    <xf numFmtId="172" fontId="3" fillId="0" borderId="10" xfId="0" applyNumberFormat="1" applyFont="1" applyBorder="1" applyAlignment="1">
      <alignment horizont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33" xfId="0" applyBorder="1" applyAlignment="1">
      <alignment wrapText="1"/>
    </xf>
    <xf numFmtId="0" fontId="0" fillId="0" borderId="16" xfId="0" applyBorder="1" applyAlignment="1">
      <alignment wrapText="1"/>
    </xf>
    <xf numFmtId="0" fontId="13" fillId="0" borderId="11" xfId="6" applyFont="1" applyBorder="1" applyAlignment="1">
      <alignment horizontal="center" vertical="center"/>
    </xf>
    <xf numFmtId="0" fontId="13" fillId="0" borderId="12" xfId="6" applyFont="1" applyBorder="1" applyAlignment="1">
      <alignment horizontal="center" vertical="center"/>
    </xf>
    <xf numFmtId="4" fontId="2" fillId="0" borderId="7" xfId="6" applyNumberFormat="1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4" fontId="18" fillId="0" borderId="7" xfId="6" applyNumberFormat="1" applyFont="1" applyFill="1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28" fillId="6" borderId="7" xfId="6" applyFont="1" applyFill="1" applyBorder="1" applyAlignment="1">
      <alignment horizontal="left" vertical="center" wrapText="1"/>
    </xf>
    <xf numFmtId="0" fontId="25" fillId="0" borderId="9" xfId="6" applyFont="1" applyBorder="1" applyAlignment="1">
      <alignment horizontal="center" vertical="center"/>
    </xf>
    <xf numFmtId="0" fontId="25" fillId="0" borderId="7" xfId="6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center" wrapText="1"/>
    </xf>
    <xf numFmtId="0" fontId="28" fillId="0" borderId="9" xfId="6" applyFont="1" applyFill="1" applyBorder="1" applyAlignment="1">
      <alignment horizontal="center" vertical="center" wrapText="1"/>
    </xf>
    <xf numFmtId="0" fontId="0" fillId="0" borderId="36" xfId="0" applyBorder="1" applyAlignment="1">
      <alignment wrapText="1"/>
    </xf>
    <xf numFmtId="0" fontId="0" fillId="0" borderId="10" xfId="0" applyBorder="1" applyAlignment="1">
      <alignment wrapText="1"/>
    </xf>
    <xf numFmtId="0" fontId="48" fillId="14" borderId="64" xfId="0" applyFont="1" applyFill="1" applyBorder="1" applyAlignment="1">
      <alignment horizontal="center" vertical="center" wrapText="1"/>
    </xf>
    <xf numFmtId="0" fontId="48" fillId="14" borderId="67" xfId="0" applyFont="1" applyFill="1" applyBorder="1" applyAlignment="1">
      <alignment horizontal="center" vertical="center" wrapText="1"/>
    </xf>
    <xf numFmtId="0" fontId="48" fillId="14" borderId="64" xfId="0" applyFont="1" applyFill="1" applyBorder="1" applyAlignment="1">
      <alignment horizontal="center" vertical="center"/>
    </xf>
    <xf numFmtId="0" fontId="48" fillId="14" borderId="67" xfId="0" applyFont="1" applyFill="1" applyBorder="1" applyAlignment="1">
      <alignment horizontal="center" vertical="center"/>
    </xf>
    <xf numFmtId="0" fontId="48" fillId="14" borderId="65" xfId="0" applyFont="1" applyFill="1" applyBorder="1" applyAlignment="1">
      <alignment horizontal="center" vertical="center"/>
    </xf>
    <xf numFmtId="0" fontId="48" fillId="14" borderId="66" xfId="0" applyFont="1" applyFill="1" applyBorder="1" applyAlignment="1">
      <alignment horizontal="center" vertical="center"/>
    </xf>
    <xf numFmtId="0" fontId="48" fillId="14" borderId="69" xfId="0" applyFont="1" applyFill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1" fillId="0" borderId="68" xfId="0" applyFont="1" applyBorder="1" applyAlignment="1">
      <alignment horizontal="center" vertical="center" wrapText="1"/>
    </xf>
    <xf numFmtId="8" fontId="0" fillId="0" borderId="73" xfId="0" applyNumberFormat="1" applyBorder="1" applyAlignment="1">
      <alignment horizontal="center" vertical="center"/>
    </xf>
    <xf numFmtId="8" fontId="0" fillId="0" borderId="74" xfId="0" applyNumberFormat="1" applyBorder="1" applyAlignment="1">
      <alignment horizontal="center" vertical="center"/>
    </xf>
    <xf numFmtId="8" fontId="0" fillId="0" borderId="75" xfId="0" applyNumberFormat="1" applyBorder="1" applyAlignment="1">
      <alignment horizontal="center" vertical="center"/>
    </xf>
    <xf numFmtId="8" fontId="0" fillId="0" borderId="68" xfId="0" applyNumberFormat="1" applyBorder="1" applyAlignment="1">
      <alignment horizontal="center" vertical="center"/>
    </xf>
    <xf numFmtId="0" fontId="48" fillId="14" borderId="70" xfId="0" applyFont="1" applyFill="1" applyBorder="1" applyAlignment="1">
      <alignment horizontal="center" vertical="center"/>
    </xf>
    <xf numFmtId="0" fontId="48" fillId="14" borderId="71" xfId="0" applyFont="1" applyFill="1" applyBorder="1" applyAlignment="1">
      <alignment horizontal="center" vertical="center"/>
    </xf>
    <xf numFmtId="0" fontId="48" fillId="14" borderId="0" xfId="0" applyFont="1" applyFill="1" applyAlignment="1">
      <alignment horizontal="center" vertical="center" wrapText="1"/>
    </xf>
    <xf numFmtId="0" fontId="48" fillId="14" borderId="72" xfId="0" applyFont="1" applyFill="1" applyBorder="1" applyAlignment="1">
      <alignment horizontal="center" vertical="center" wrapText="1"/>
    </xf>
    <xf numFmtId="0" fontId="1" fillId="0" borderId="73" xfId="0" applyFont="1" applyBorder="1" applyAlignment="1">
      <alignment horizontal="center" wrapText="1"/>
    </xf>
    <xf numFmtId="0" fontId="1" fillId="0" borderId="74" xfId="0" applyFont="1" applyBorder="1" applyAlignment="1">
      <alignment horizontal="center" wrapText="1"/>
    </xf>
    <xf numFmtId="0" fontId="1" fillId="0" borderId="75" xfId="0" applyFont="1" applyBorder="1" applyAlignment="1">
      <alignment horizontal="center" wrapText="1"/>
    </xf>
    <xf numFmtId="0" fontId="25" fillId="0" borderId="5" xfId="6" applyFont="1" applyBorder="1" applyAlignment="1">
      <alignment horizontal="center" vertical="center"/>
    </xf>
    <xf numFmtId="0" fontId="25" fillId="0" borderId="8" xfId="6" applyFont="1" applyBorder="1" applyAlignment="1">
      <alignment horizontal="center" vertical="center"/>
    </xf>
    <xf numFmtId="0" fontId="25" fillId="0" borderId="11" xfId="6" applyFont="1" applyBorder="1" applyAlignment="1">
      <alignment horizontal="center" vertical="center"/>
    </xf>
    <xf numFmtId="0" fontId="25" fillId="0" borderId="13" xfId="6" applyFont="1" applyBorder="1" applyAlignment="1">
      <alignment horizontal="center" vertical="center"/>
    </xf>
    <xf numFmtId="0" fontId="28" fillId="0" borderId="52" xfId="6" applyFont="1" applyFill="1" applyBorder="1" applyAlignment="1">
      <alignment horizontal="right"/>
    </xf>
    <xf numFmtId="0" fontId="28" fillId="0" borderId="39" xfId="6" applyFont="1" applyFill="1" applyBorder="1" applyAlignment="1">
      <alignment horizontal="right"/>
    </xf>
    <xf numFmtId="0" fontId="3" fillId="0" borderId="5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172" fontId="3" fillId="0" borderId="54" xfId="0" applyNumberFormat="1" applyFont="1" applyBorder="1" applyAlignment="1">
      <alignment horizontal="center" vertical="center" wrapText="1"/>
    </xf>
    <xf numFmtId="172" fontId="3" fillId="0" borderId="27" xfId="0" applyNumberFormat="1" applyFont="1" applyBorder="1" applyAlignment="1">
      <alignment horizontal="center" vertical="center" wrapText="1"/>
    </xf>
    <xf numFmtId="0" fontId="25" fillId="6" borderId="7" xfId="6" applyFont="1" applyFill="1" applyBorder="1" applyAlignment="1">
      <alignment horizontal="left" vertical="center" wrapText="1"/>
    </xf>
    <xf numFmtId="0" fontId="3" fillId="0" borderId="52" xfId="6" applyFont="1" applyBorder="1" applyAlignment="1">
      <alignment horizontal="center" vertical="center" wrapText="1"/>
    </xf>
    <xf numFmtId="0" fontId="3" fillId="0" borderId="37" xfId="6" applyFont="1" applyBorder="1" applyAlignment="1">
      <alignment horizontal="center" vertical="center" wrapText="1"/>
    </xf>
    <xf numFmtId="0" fontId="3" fillId="0" borderId="39" xfId="6" applyFont="1" applyBorder="1" applyAlignment="1">
      <alignment horizontal="center" vertical="center" wrapText="1"/>
    </xf>
    <xf numFmtId="0" fontId="28" fillId="0" borderId="52" xfId="6" applyFont="1" applyFill="1" applyBorder="1" applyAlignment="1">
      <alignment horizontal="left"/>
    </xf>
    <xf numFmtId="0" fontId="28" fillId="0" borderId="39" xfId="6" applyFont="1" applyFill="1" applyBorder="1" applyAlignment="1">
      <alignment horizontal="left"/>
    </xf>
    <xf numFmtId="0" fontId="25" fillId="6" borderId="52" xfId="6" applyFont="1" applyFill="1" applyBorder="1" applyAlignment="1">
      <alignment horizontal="center" vertical="center" wrapText="1"/>
    </xf>
    <xf numFmtId="0" fontId="25" fillId="6" borderId="37" xfId="6" applyFont="1" applyFill="1" applyBorder="1" applyAlignment="1">
      <alignment horizontal="center" vertical="center" wrapText="1"/>
    </xf>
    <xf numFmtId="0" fontId="25" fillId="6" borderId="39" xfId="6" applyFont="1" applyFill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right" wrapText="1"/>
    </xf>
    <xf numFmtId="0" fontId="0" fillId="0" borderId="37" xfId="0" applyBorder="1" applyAlignment="1">
      <alignment wrapText="1"/>
    </xf>
    <xf numFmtId="0" fontId="0" fillId="0" borderId="55" xfId="0" applyBorder="1" applyAlignment="1">
      <alignment wrapText="1"/>
    </xf>
    <xf numFmtId="165" fontId="13" fillId="0" borderId="52" xfId="0" applyNumberFormat="1" applyFont="1" applyFill="1" applyBorder="1" applyAlignment="1">
      <alignment horizontal="right" wrapText="1"/>
    </xf>
    <xf numFmtId="0" fontId="8" fillId="0" borderId="52" xfId="0" applyFont="1" applyFill="1" applyBorder="1" applyAlignment="1">
      <alignment wrapText="1"/>
    </xf>
    <xf numFmtId="0" fontId="13" fillId="0" borderId="52" xfId="0" applyFont="1" applyFill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49" fontId="13" fillId="0" borderId="36" xfId="0" applyNumberFormat="1" applyFont="1" applyBorder="1" applyAlignment="1">
      <alignment horizontal="center" vertical="center" wrapText="1"/>
    </xf>
    <xf numFmtId="49" fontId="13" fillId="0" borderId="37" xfId="0" applyNumberFormat="1" applyFont="1" applyBorder="1" applyAlignment="1">
      <alignment horizontal="center" vertical="center" wrapText="1"/>
    </xf>
    <xf numFmtId="49" fontId="13" fillId="0" borderId="39" xfId="0" applyNumberFormat="1" applyFont="1" applyBorder="1" applyAlignment="1">
      <alignment horizontal="center" vertical="center" wrapText="1"/>
    </xf>
    <xf numFmtId="0" fontId="8" fillId="8" borderId="36" xfId="0" applyFont="1" applyFill="1" applyBorder="1" applyAlignment="1">
      <alignment horizontal="center" vertical="center" wrapText="1"/>
    </xf>
    <xf numFmtId="0" fontId="8" fillId="8" borderId="37" xfId="0" applyFont="1" applyFill="1" applyBorder="1" applyAlignment="1">
      <alignment horizontal="center" vertical="center" wrapText="1"/>
    </xf>
    <xf numFmtId="0" fontId="8" fillId="8" borderId="39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/>
    </xf>
    <xf numFmtId="0" fontId="8" fillId="0" borderId="37" xfId="0" applyFont="1" applyFill="1" applyBorder="1" applyAlignment="1">
      <alignment horizontal="center"/>
    </xf>
    <xf numFmtId="0" fontId="8" fillId="0" borderId="39" xfId="0" applyFont="1" applyFill="1" applyBorder="1" applyAlignment="1">
      <alignment horizontal="center"/>
    </xf>
    <xf numFmtId="165" fontId="13" fillId="0" borderId="48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13" fillId="0" borderId="52" xfId="0" applyFont="1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13" fillId="0" borderId="10" xfId="0" applyFont="1" applyBorder="1" applyAlignment="1">
      <alignment horizontal="center"/>
    </xf>
    <xf numFmtId="0" fontId="13" fillId="0" borderId="52" xfId="0" applyFont="1" applyBorder="1" applyAlignment="1">
      <alignment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center" wrapText="1"/>
    </xf>
    <xf numFmtId="0" fontId="13" fillId="0" borderId="37" xfId="0" applyFont="1" applyFill="1" applyBorder="1" applyAlignment="1">
      <alignment horizontal="center" wrapText="1"/>
    </xf>
    <xf numFmtId="0" fontId="13" fillId="0" borderId="38" xfId="0" applyFont="1" applyFill="1" applyBorder="1" applyAlignment="1">
      <alignment horizontal="center" wrapText="1"/>
    </xf>
    <xf numFmtId="0" fontId="31" fillId="0" borderId="0" xfId="0" applyFont="1" applyFill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171" fontId="8" fillId="0" borderId="7" xfId="0" applyNumberFormat="1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52" xfId="0" applyFont="1" applyBorder="1" applyAlignment="1"/>
    <xf numFmtId="0" fontId="1" fillId="0" borderId="37" xfId="0" applyFont="1" applyBorder="1" applyAlignment="1"/>
    <xf numFmtId="0" fontId="1" fillId="0" borderId="39" xfId="0" applyFont="1" applyBorder="1" applyAlignment="1"/>
    <xf numFmtId="0" fontId="13" fillId="0" borderId="9" xfId="0" applyFont="1" applyFill="1" applyBorder="1" applyAlignment="1"/>
    <xf numFmtId="0" fontId="13" fillId="0" borderId="7" xfId="0" applyFont="1" applyFill="1" applyBorder="1" applyAlignment="1"/>
    <xf numFmtId="0" fontId="13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52" xfId="0" applyFont="1" applyFill="1" applyBorder="1" applyAlignment="1"/>
    <xf numFmtId="0" fontId="1" fillId="0" borderId="37" xfId="0" applyFont="1" applyFill="1" applyBorder="1" applyAlignment="1"/>
    <xf numFmtId="0" fontId="1" fillId="0" borderId="38" xfId="0" applyFont="1" applyFill="1" applyBorder="1" applyAlignment="1"/>
    <xf numFmtId="165" fontId="13" fillId="0" borderId="9" xfId="17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36" fillId="0" borderId="52" xfId="0" applyFont="1" applyBorder="1" applyAlignment="1"/>
    <xf numFmtId="0" fontId="34" fillId="0" borderId="37" xfId="0" applyFont="1" applyBorder="1" applyAlignment="1"/>
    <xf numFmtId="0" fontId="34" fillId="0" borderId="38" xfId="0" applyFont="1" applyBorder="1" applyAlignment="1"/>
    <xf numFmtId="0" fontId="8" fillId="0" borderId="23" xfId="0" applyFont="1" applyBorder="1" applyAlignment="1">
      <alignment wrapText="1"/>
    </xf>
    <xf numFmtId="0" fontId="1" fillId="0" borderId="54" xfId="0" applyFont="1" applyBorder="1" applyAlignment="1">
      <alignment wrapText="1"/>
    </xf>
    <xf numFmtId="0" fontId="1" fillId="0" borderId="55" xfId="0" applyFont="1" applyBorder="1" applyAlignment="1">
      <alignment wrapText="1"/>
    </xf>
    <xf numFmtId="165" fontId="13" fillId="0" borderId="11" xfId="17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6" fillId="0" borderId="23" xfId="0" applyFont="1" applyBorder="1" applyAlignment="1">
      <alignment wrapText="1"/>
    </xf>
    <xf numFmtId="0" fontId="34" fillId="0" borderId="54" xfId="0" applyFont="1" applyBorder="1" applyAlignment="1">
      <alignment wrapText="1"/>
    </xf>
    <xf numFmtId="0" fontId="34" fillId="0" borderId="55" xfId="0" applyFont="1" applyBorder="1" applyAlignment="1">
      <alignment wrapText="1"/>
    </xf>
    <xf numFmtId="0" fontId="36" fillId="0" borderId="52" xfId="0" applyFont="1" applyFill="1" applyBorder="1" applyAlignment="1"/>
    <xf numFmtId="0" fontId="34" fillId="0" borderId="37" xfId="0" applyFont="1" applyFill="1" applyBorder="1" applyAlignment="1"/>
    <xf numFmtId="0" fontId="34" fillId="0" borderId="38" xfId="0" applyFont="1" applyFill="1" applyBorder="1" applyAlignment="1"/>
    <xf numFmtId="0" fontId="16" fillId="5" borderId="11" xfId="0" applyFont="1" applyFill="1" applyBorder="1" applyAlignment="1">
      <alignment wrapText="1"/>
    </xf>
    <xf numFmtId="0" fontId="14" fillId="5" borderId="12" xfId="0" applyFont="1" applyFill="1" applyBorder="1" applyAlignment="1">
      <alignment wrapText="1"/>
    </xf>
    <xf numFmtId="0" fontId="14" fillId="5" borderId="13" xfId="0" applyFont="1" applyFill="1" applyBorder="1" applyAlignment="1">
      <alignment wrapText="1"/>
    </xf>
    <xf numFmtId="0" fontId="13" fillId="5" borderId="5" xfId="0" applyFont="1" applyFill="1" applyBorder="1" applyAlignment="1">
      <alignment wrapText="1"/>
    </xf>
    <xf numFmtId="0" fontId="8" fillId="5" borderId="6" xfId="0" applyFont="1" applyFill="1" applyBorder="1" applyAlignment="1">
      <alignment wrapText="1"/>
    </xf>
    <xf numFmtId="0" fontId="8" fillId="5" borderId="8" xfId="0" applyFont="1" applyFill="1" applyBorder="1" applyAlignment="1">
      <alignment wrapText="1"/>
    </xf>
    <xf numFmtId="0" fontId="13" fillId="5" borderId="9" xfId="0" applyFont="1" applyFill="1" applyBorder="1" applyAlignment="1">
      <alignment wrapText="1"/>
    </xf>
    <xf numFmtId="0" fontId="8" fillId="5" borderId="7" xfId="0" applyFont="1" applyFill="1" applyBorder="1" applyAlignment="1">
      <alignment wrapText="1"/>
    </xf>
    <xf numFmtId="0" fontId="8" fillId="5" borderId="10" xfId="0" applyFont="1" applyFill="1" applyBorder="1" applyAlignment="1">
      <alignment wrapText="1"/>
    </xf>
    <xf numFmtId="0" fontId="8" fillId="5" borderId="9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 wrapText="1"/>
    </xf>
    <xf numFmtId="0" fontId="8" fillId="5" borderId="10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horizontal="justify" vertical="center" wrapText="1"/>
    </xf>
    <xf numFmtId="0" fontId="8" fillId="5" borderId="7" xfId="0" applyFont="1" applyFill="1" applyBorder="1" applyAlignment="1">
      <alignment horizontal="justify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30" fillId="5" borderId="9" xfId="0" applyFont="1" applyFill="1" applyBorder="1" applyAlignment="1">
      <alignment horizontal="justify" vertical="center" wrapText="1"/>
    </xf>
    <xf numFmtId="165" fontId="36" fillId="0" borderId="52" xfId="0" applyNumberFormat="1" applyFont="1" applyBorder="1" applyAlignment="1">
      <alignment wrapText="1"/>
    </xf>
    <xf numFmtId="0" fontId="34" fillId="0" borderId="37" xfId="0" applyFont="1" applyBorder="1" applyAlignment="1">
      <alignment wrapText="1"/>
    </xf>
    <xf numFmtId="0" fontId="34" fillId="0" borderId="38" xfId="0" applyFont="1" applyBorder="1" applyAlignment="1">
      <alignment wrapText="1"/>
    </xf>
    <xf numFmtId="165" fontId="8" fillId="0" borderId="52" xfId="0" applyNumberFormat="1" applyFont="1" applyBorder="1" applyAlignment="1">
      <alignment wrapText="1"/>
    </xf>
    <xf numFmtId="0" fontId="1" fillId="0" borderId="37" xfId="0" applyFont="1" applyBorder="1" applyAlignment="1">
      <alignment wrapText="1"/>
    </xf>
    <xf numFmtId="0" fontId="1" fillId="0" borderId="38" xfId="0" applyFont="1" applyBorder="1" applyAlignment="1">
      <alignment wrapText="1"/>
    </xf>
    <xf numFmtId="165" fontId="13" fillId="0" borderId="9" xfId="0" applyNumberFormat="1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13" fillId="0" borderId="9" xfId="0" applyFont="1" applyBorder="1" applyAlignment="1"/>
    <xf numFmtId="0" fontId="13" fillId="0" borderId="7" xfId="0" applyFont="1" applyBorder="1" applyAlignment="1"/>
    <xf numFmtId="0" fontId="8" fillId="0" borderId="10" xfId="0" applyFont="1" applyBorder="1" applyAlignment="1">
      <alignment horizontal="center"/>
    </xf>
    <xf numFmtId="0" fontId="8" fillId="0" borderId="7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13" fillId="0" borderId="38" xfId="0" applyFont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0" borderId="0" xfId="0" applyFont="1" applyAlignment="1">
      <alignment wrapText="1"/>
    </xf>
    <xf numFmtId="0" fontId="13" fillId="0" borderId="7" xfId="0" applyFont="1" applyBorder="1" applyAlignment="1">
      <alignment horizontal="center" vertical="center" wrapText="1"/>
    </xf>
    <xf numFmtId="0" fontId="13" fillId="11" borderId="7" xfId="0" applyFont="1" applyFill="1" applyBorder="1" applyAlignment="1">
      <alignment horizontal="center" vertical="center" wrapText="1"/>
    </xf>
    <xf numFmtId="0" fontId="8" fillId="11" borderId="7" xfId="0" applyFont="1" applyFill="1" applyBorder="1" applyAlignment="1">
      <alignment wrapText="1"/>
    </xf>
    <xf numFmtId="0" fontId="13" fillId="5" borderId="47" xfId="0" applyFont="1" applyFill="1" applyBorder="1" applyAlignment="1">
      <alignment wrapText="1"/>
    </xf>
    <xf numFmtId="0" fontId="8" fillId="5" borderId="24" xfId="0" applyFont="1" applyFill="1" applyBorder="1" applyAlignment="1">
      <alignment wrapText="1"/>
    </xf>
    <xf numFmtId="0" fontId="8" fillId="5" borderId="25" xfId="0" applyFont="1" applyFill="1" applyBorder="1" applyAlignment="1">
      <alignment wrapText="1"/>
    </xf>
    <xf numFmtId="0" fontId="13" fillId="5" borderId="19" xfId="0" applyFont="1" applyFill="1" applyBorder="1" applyAlignment="1">
      <alignment wrapText="1"/>
    </xf>
    <xf numFmtId="0" fontId="8" fillId="5" borderId="0" xfId="0" applyFont="1" applyFill="1" applyBorder="1" applyAlignment="1">
      <alignment wrapText="1"/>
    </xf>
    <xf numFmtId="0" fontId="8" fillId="5" borderId="20" xfId="0" applyFont="1" applyFill="1" applyBorder="1" applyAlignment="1">
      <alignment wrapText="1"/>
    </xf>
    <xf numFmtId="0" fontId="8" fillId="5" borderId="19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8" fillId="5" borderId="2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165" fontId="8" fillId="0" borderId="9" xfId="0" applyNumberFormat="1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37" fillId="5" borderId="19" xfId="0" applyFont="1" applyFill="1" applyBorder="1" applyAlignment="1">
      <alignment horizontal="left" wrapText="1"/>
    </xf>
    <xf numFmtId="0" fontId="36" fillId="5" borderId="0" xfId="0" applyFont="1" applyFill="1" applyBorder="1" applyAlignment="1">
      <alignment horizontal="left" wrapText="1"/>
    </xf>
    <xf numFmtId="0" fontId="36" fillId="5" borderId="20" xfId="0" applyFont="1" applyFill="1" applyBorder="1" applyAlignment="1">
      <alignment horizontal="left" wrapText="1"/>
    </xf>
    <xf numFmtId="0" fontId="36" fillId="5" borderId="19" xfId="0" applyFont="1" applyFill="1" applyBorder="1" applyAlignment="1">
      <alignment wrapText="1"/>
    </xf>
    <xf numFmtId="0" fontId="36" fillId="5" borderId="0" xfId="0" applyFont="1" applyFill="1" applyBorder="1" applyAlignment="1">
      <alignment wrapText="1"/>
    </xf>
    <xf numFmtId="0" fontId="36" fillId="5" borderId="20" xfId="0" applyFont="1" applyFill="1" applyBorder="1" applyAlignment="1">
      <alignment wrapText="1"/>
    </xf>
    <xf numFmtId="0" fontId="8" fillId="0" borderId="0" xfId="0" applyFont="1" applyBorder="1" applyAlignment="1">
      <alignment wrapText="1" shrinkToFit="1"/>
    </xf>
    <xf numFmtId="0" fontId="13" fillId="0" borderId="9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165" fontId="13" fillId="9" borderId="23" xfId="17" applyFont="1" applyFill="1" applyBorder="1" applyAlignment="1">
      <alignment horizontal="center" vertical="center" wrapText="1"/>
    </xf>
    <xf numFmtId="0" fontId="1" fillId="9" borderId="54" xfId="0" applyFont="1" applyFill="1" applyBorder="1" applyAlignment="1">
      <alignment horizontal="center" wrapText="1"/>
    </xf>
    <xf numFmtId="0" fontId="1" fillId="9" borderId="56" xfId="0" applyFont="1" applyFill="1" applyBorder="1" applyAlignment="1">
      <alignment horizontal="center" wrapText="1"/>
    </xf>
    <xf numFmtId="165" fontId="36" fillId="9" borderId="52" xfId="0" applyNumberFormat="1" applyFont="1" applyFill="1" applyBorder="1" applyAlignment="1">
      <alignment wrapText="1"/>
    </xf>
    <xf numFmtId="0" fontId="34" fillId="9" borderId="37" xfId="0" applyFont="1" applyFill="1" applyBorder="1" applyAlignment="1">
      <alignment wrapText="1"/>
    </xf>
    <xf numFmtId="0" fontId="34" fillId="9" borderId="38" xfId="0" applyFont="1" applyFill="1" applyBorder="1" applyAlignment="1">
      <alignment wrapText="1"/>
    </xf>
    <xf numFmtId="0" fontId="36" fillId="9" borderId="52" xfId="0" applyFont="1" applyFill="1" applyBorder="1" applyAlignment="1"/>
    <xf numFmtId="0" fontId="34" fillId="9" borderId="37" xfId="0" applyFont="1" applyFill="1" applyBorder="1" applyAlignment="1"/>
    <xf numFmtId="0" fontId="34" fillId="9" borderId="38" xfId="0" applyFont="1" applyFill="1" applyBorder="1" applyAlignment="1"/>
    <xf numFmtId="0" fontId="8" fillId="0" borderId="52" xfId="0" applyFont="1" applyFill="1" applyBorder="1" applyAlignment="1">
      <alignment horizontal="center" wrapText="1"/>
    </xf>
    <xf numFmtId="0" fontId="8" fillId="0" borderId="37" xfId="0" applyFont="1" applyFill="1" applyBorder="1" applyAlignment="1">
      <alignment horizontal="center" wrapText="1"/>
    </xf>
    <xf numFmtId="0" fontId="8" fillId="0" borderId="39" xfId="0" applyFont="1" applyFill="1" applyBorder="1" applyAlignment="1">
      <alignment horizontal="center" wrapText="1"/>
    </xf>
    <xf numFmtId="0" fontId="13" fillId="0" borderId="52" xfId="0" applyFont="1" applyFill="1" applyBorder="1" applyAlignment="1">
      <alignment horizontal="justify"/>
    </xf>
    <xf numFmtId="0" fontId="1" fillId="0" borderId="51" xfId="0" applyFont="1" applyBorder="1" applyAlignment="1">
      <alignment wrapText="1"/>
    </xf>
    <xf numFmtId="0" fontId="8" fillId="5" borderId="2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0" fontId="8" fillId="5" borderId="2" xfId="0" applyFont="1" applyFill="1" applyBorder="1" applyAlignment="1">
      <alignment wrapText="1"/>
    </xf>
    <xf numFmtId="0" fontId="15" fillId="5" borderId="19" xfId="0" applyFont="1" applyFill="1" applyBorder="1" applyAlignment="1">
      <alignment horizontal="left" wrapText="1"/>
    </xf>
    <xf numFmtId="0" fontId="32" fillId="5" borderId="0" xfId="0" applyFont="1" applyFill="1" applyBorder="1" applyAlignment="1">
      <alignment horizontal="left" wrapText="1"/>
    </xf>
    <xf numFmtId="0" fontId="32" fillId="5" borderId="20" xfId="0" applyFont="1" applyFill="1" applyBorder="1" applyAlignment="1">
      <alignment horizontal="left" wrapText="1"/>
    </xf>
    <xf numFmtId="0" fontId="13" fillId="5" borderId="47" xfId="0" applyFont="1" applyFill="1" applyBorder="1" applyAlignment="1">
      <alignment horizontal="left" wrapText="1"/>
    </xf>
    <xf numFmtId="0" fontId="8" fillId="5" borderId="19" xfId="0" applyFont="1" applyFill="1" applyBorder="1" applyAlignment="1">
      <alignment wrapText="1"/>
    </xf>
    <xf numFmtId="0" fontId="13" fillId="5" borderId="19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0" fontId="13" fillId="5" borderId="2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5" fillId="0" borderId="3" xfId="0" applyNumberFormat="1" applyFont="1" applyBorder="1" applyAlignment="1">
      <alignment horizontal="center" vertical="center" wrapText="1"/>
    </xf>
    <xf numFmtId="165" fontId="25" fillId="0" borderId="45" xfId="0" applyNumberFormat="1" applyFont="1" applyBorder="1" applyAlignment="1">
      <alignment horizontal="center" vertical="center" wrapText="1"/>
    </xf>
    <xf numFmtId="165" fontId="25" fillId="0" borderId="4" xfId="0" applyNumberFormat="1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3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3" fillId="5" borderId="47" xfId="0" applyFont="1" applyFill="1" applyBorder="1" applyAlignment="1">
      <alignment horizontal="left"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13" fillId="5" borderId="21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3" fillId="5" borderId="2" xfId="0" applyFont="1" applyFill="1" applyBorder="1" applyAlignment="1">
      <alignment horizontal="justify" vertical="center" wrapText="1"/>
    </xf>
    <xf numFmtId="0" fontId="13" fillId="5" borderId="19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8" fillId="0" borderId="52" xfId="0" applyFont="1" applyFill="1" applyBorder="1" applyAlignment="1">
      <alignment vertical="center" wrapText="1"/>
    </xf>
    <xf numFmtId="0" fontId="36" fillId="0" borderId="5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justify" wrapText="1"/>
    </xf>
    <xf numFmtId="0" fontId="0" fillId="0" borderId="0" xfId="0" applyFill="1" applyBorder="1" applyAlignment="1">
      <alignment horizontal="justify" wrapText="1"/>
    </xf>
    <xf numFmtId="0" fontId="35" fillId="0" borderId="0" xfId="0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0" fillId="0" borderId="37" xfId="0" applyBorder="1" applyAlignment="1"/>
    <xf numFmtId="0" fontId="0" fillId="0" borderId="39" xfId="0" applyBorder="1" applyAlignment="1"/>
    <xf numFmtId="0" fontId="11" fillId="0" borderId="9" xfId="0" applyFont="1" applyFill="1" applyBorder="1" applyAlignment="1"/>
    <xf numFmtId="0" fontId="0" fillId="0" borderId="7" xfId="0" applyBorder="1" applyAlignment="1"/>
    <xf numFmtId="0" fontId="8" fillId="5" borderId="19" xfId="0" applyFont="1" applyFill="1" applyBorder="1" applyAlignment="1">
      <alignment horizontal="left" wrapText="1"/>
    </xf>
    <xf numFmtId="0" fontId="8" fillId="5" borderId="0" xfId="0" applyFont="1" applyFill="1" applyBorder="1" applyAlignment="1">
      <alignment horizontal="left" wrapText="1"/>
    </xf>
    <xf numFmtId="0" fontId="8" fillId="5" borderId="20" xfId="0" applyFont="1" applyFill="1" applyBorder="1" applyAlignment="1">
      <alignment horizontal="left" wrapText="1"/>
    </xf>
    <xf numFmtId="0" fontId="8" fillId="0" borderId="53" xfId="0" applyFont="1" applyFill="1" applyBorder="1" applyAlignment="1"/>
    <xf numFmtId="0" fontId="0" fillId="0" borderId="41" xfId="0" applyBorder="1" applyAlignment="1"/>
    <xf numFmtId="0" fontId="0" fillId="0" borderId="42" xfId="0" applyBorder="1" applyAlignment="1"/>
    <xf numFmtId="0" fontId="0" fillId="0" borderId="7" xfId="0" applyBorder="1" applyAlignment="1">
      <alignment horizontal="center" wrapText="1"/>
    </xf>
    <xf numFmtId="165" fontId="13" fillId="0" borderId="31" xfId="17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wrapText="1"/>
    </xf>
    <xf numFmtId="165" fontId="13" fillId="0" borderId="48" xfId="17" applyFont="1" applyFill="1" applyBorder="1" applyAlignment="1">
      <alignment horizontal="center" vertical="center" wrapText="1"/>
    </xf>
    <xf numFmtId="0" fontId="0" fillId="0" borderId="49" xfId="0" applyBorder="1" applyAlignment="1">
      <alignment wrapText="1"/>
    </xf>
    <xf numFmtId="0" fontId="0" fillId="0" borderId="50" xfId="0" applyBorder="1" applyAlignment="1">
      <alignment wrapText="1"/>
    </xf>
    <xf numFmtId="165" fontId="13" fillId="0" borderId="53" xfId="17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171" fontId="13" fillId="0" borderId="52" xfId="0" applyNumberFormat="1" applyFont="1" applyBorder="1" applyAlignment="1">
      <alignment horizontal="left" vertical="center"/>
    </xf>
    <xf numFmtId="171" fontId="13" fillId="0" borderId="37" xfId="0" applyNumberFormat="1" applyFont="1" applyBorder="1" applyAlignment="1">
      <alignment horizontal="left" vertical="center"/>
    </xf>
    <xf numFmtId="171" fontId="13" fillId="0" borderId="38" xfId="0" applyNumberFormat="1" applyFont="1" applyBorder="1" applyAlignment="1">
      <alignment horizontal="left" vertical="center"/>
    </xf>
    <xf numFmtId="0" fontId="1" fillId="0" borderId="38" xfId="0" applyFont="1" applyBorder="1" applyAlignment="1"/>
  </cellXfs>
  <cellStyles count="58">
    <cellStyle name="Moeda" xfId="27" builtinId="4"/>
    <cellStyle name="Moeda 2" xfId="1"/>
    <cellStyle name="Moeda 2 2" xfId="45"/>
    <cellStyle name="Moeda 2 3" xfId="31"/>
    <cellStyle name="Moeda 3" xfId="2"/>
    <cellStyle name="Moeda 3 2" xfId="32"/>
    <cellStyle name="Moeda 4" xfId="3"/>
    <cellStyle name="Moeda 4 2" xfId="4"/>
    <cellStyle name="Moeda 4 2 2" xfId="49"/>
    <cellStyle name="Moeda 4 3" xfId="48"/>
    <cellStyle name="Moeda 5" xfId="29"/>
    <cellStyle name="Moeda 5 2" xfId="57"/>
    <cellStyle name="Moeda 6" xfId="47"/>
    <cellStyle name="Normal" xfId="0" builtinId="0"/>
    <cellStyle name="Normal 2" xfId="5"/>
    <cellStyle name="Normal 2 2" xfId="33"/>
    <cellStyle name="Normal 3" xfId="30"/>
    <cellStyle name="Normal_BR-101-AL_Orçamento_ Elaboração de Projetos de Estr PBAIs" xfId="6"/>
    <cellStyle name="Porcentagem" xfId="28" builtinId="5"/>
    <cellStyle name="Porcentagem 2" xfId="7"/>
    <cellStyle name="Porcentagem 2 2" xfId="8"/>
    <cellStyle name="Porcentagem 2 2 2" xfId="35"/>
    <cellStyle name="Porcentagem 2 3" xfId="34"/>
    <cellStyle name="Separador de milhares 2" xfId="9"/>
    <cellStyle name="Separador de milhares 2 2" xfId="10"/>
    <cellStyle name="Separador de milhares 2 2 2" xfId="11"/>
    <cellStyle name="Separador de milhares 2 2 2 2" xfId="12"/>
    <cellStyle name="Separador de milhares 2 2 2 2 2" xfId="50"/>
    <cellStyle name="Separador de milhares 2 2 2 3" xfId="42"/>
    <cellStyle name="Separador de milhares 2 2 3" xfId="37"/>
    <cellStyle name="Separador de milhares 2 3" xfId="13"/>
    <cellStyle name="Separador de milhares 2 3 2" xfId="14"/>
    <cellStyle name="Separador de milhares 2 3 2 2" xfId="51"/>
    <cellStyle name="Separador de milhares 2 3 3" xfId="41"/>
    <cellStyle name="Separador de milhares 2 4" xfId="36"/>
    <cellStyle name="Vírgula" xfId="15" builtinId="3"/>
    <cellStyle name="Vírgula 2" xfId="16"/>
    <cellStyle name="Vírgula 2 2" xfId="17"/>
    <cellStyle name="Vírgula 2 2 2" xfId="18"/>
    <cellStyle name="Vírgula 2 2 2 2" xfId="19"/>
    <cellStyle name="Vírgula 2 2 2 2 2" xfId="52"/>
    <cellStyle name="Vírgula 2 2 2 3" xfId="44"/>
    <cellStyle name="Vírgula 2 2 3" xfId="39"/>
    <cellStyle name="Vírgula 2 3" xfId="20"/>
    <cellStyle name="Vírgula 2 3 2" xfId="53"/>
    <cellStyle name="Vírgula 2 4" xfId="38"/>
    <cellStyle name="Vírgula 3" xfId="21"/>
    <cellStyle name="Vírgula 3 2" xfId="22"/>
    <cellStyle name="Vírgula 3 2 2" xfId="46"/>
    <cellStyle name="Vírgula 3 3" xfId="40"/>
    <cellStyle name="Vírgula 4" xfId="23"/>
    <cellStyle name="Vírgula 4 2" xfId="24"/>
    <cellStyle name="Vírgula 4 2 2" xfId="54"/>
    <cellStyle name="Vírgula 4 3" xfId="43"/>
    <cellStyle name="Vírgula 5" xfId="25"/>
    <cellStyle name="Vírgula 5 2" xfId="26"/>
    <cellStyle name="Vírgula 5 2 2" xfId="56"/>
    <cellStyle name="Vírgula 5 3" xfId="55"/>
  </cellStyles>
  <dxfs count="0"/>
  <tableStyles count="0" defaultTableStyle="TableStyleMedium9" defaultPivotStyle="PivotStyleLight16"/>
  <colors>
    <mruColors>
      <color rgb="FFFF3300"/>
      <color rgb="FF0000FF"/>
      <color rgb="FFFFFF99"/>
      <color rgb="FFCCFFFF"/>
      <color rgb="FF66FFFF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BR%20308-PA\DOCTS%20ANTERIORES\VERS&#195;O%20-%20CONCORR&#202;NCIA%20T&#201;CNICA%20E%20PRE&#199;O\BR-308%20PA%20-%20OR&#199;AMENTO%20VERS&#195;O%20FINAL%20(19081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DESPESAS GERAIS"/>
      <sheetName val="PGA - EQUIPE"/>
      <sheetName val="PGA-VIAGENS"/>
      <sheetName val="PGA-DESLOC"/>
      <sheetName val="PMQA"/>
      <sheetName val="CUSTO MÉDIO ÁGUA"/>
      <sheetName val="PROTEÇÃO A FLORA"/>
      <sheetName val="PROTEÇÃO A  FAUNA"/>
      <sheetName val="ATROP FAUNA"/>
      <sheetName val="MANEJO"/>
      <sheetName val="RUIDO"/>
      <sheetName val="PCS"/>
      <sheetName val="PEA - PTQA"/>
      <sheetName val="SUPR VEGETAÇÃO"/>
      <sheetName val="MONIT.ARQ."/>
      <sheetName val="PROSP DIAG"/>
      <sheetName val="PLANTIO COMPENSATÓRIO"/>
      <sheetName val="PLANO AÇÃO EMERG"/>
      <sheetName val="PRODUTOS 3"/>
      <sheetName val="ORÇAMENTO"/>
      <sheetName val="PRODUTOS 2"/>
      <sheetName val="CRONOGRAMA"/>
      <sheetName val="PRODUTOS"/>
    </sheetNames>
    <sheetDataSet>
      <sheetData sheetId="0" refreshError="1">
        <row r="18">
          <cell r="C18" t="str">
            <v>T4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9"/>
  <sheetViews>
    <sheetView topLeftCell="A16" zoomScale="85" zoomScaleNormal="85" zoomScaleSheetLayoutView="82" workbookViewId="0">
      <selection activeCell="C15" sqref="C15"/>
    </sheetView>
  </sheetViews>
  <sheetFormatPr defaultRowHeight="12.75"/>
  <cols>
    <col min="1" max="1" width="4.42578125" customWidth="1"/>
    <col min="2" max="2" width="34.28515625" customWidth="1"/>
    <col min="3" max="3" width="14" customWidth="1"/>
    <col min="4" max="4" width="11.28515625" customWidth="1"/>
    <col min="5" max="5" width="15.5703125" customWidth="1"/>
    <col min="6" max="6" width="13.28515625" customWidth="1"/>
    <col min="7" max="7" width="4.85546875" customWidth="1"/>
    <col min="8" max="8" width="38.28515625" customWidth="1"/>
    <col min="9" max="9" width="13.42578125" customWidth="1"/>
    <col min="10" max="10" width="11.5703125" customWidth="1"/>
    <col min="11" max="11" width="15.140625" customWidth="1"/>
    <col min="14" max="14" width="6.5703125" customWidth="1"/>
    <col min="15" max="15" width="17.28515625" customWidth="1"/>
    <col min="16" max="16" width="62.140625" customWidth="1"/>
    <col min="17" max="17" width="6" bestFit="1" customWidth="1"/>
    <col min="18" max="18" width="4.7109375" bestFit="1" customWidth="1"/>
    <col min="19" max="19" width="12.42578125" bestFit="1" customWidth="1"/>
    <col min="20" max="20" width="11.28515625" bestFit="1" customWidth="1"/>
  </cols>
  <sheetData>
    <row r="1" spans="2:13" ht="18">
      <c r="B1" s="751" t="s">
        <v>36</v>
      </c>
      <c r="C1" s="752"/>
      <c r="D1" s="752"/>
      <c r="E1" s="752"/>
      <c r="F1" s="752"/>
      <c r="G1" s="752"/>
      <c r="H1" s="752"/>
      <c r="I1" s="752"/>
      <c r="J1" s="752"/>
      <c r="K1" s="752"/>
      <c r="L1" s="10"/>
      <c r="M1" s="10"/>
    </row>
    <row r="2" spans="2:13" ht="13.5" customHeight="1" thickBo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2:13" ht="13.5" thickBot="1">
      <c r="B3" s="11"/>
      <c r="C3" s="753" t="s">
        <v>0</v>
      </c>
      <c r="D3" s="753"/>
      <c r="E3" s="753"/>
      <c r="F3" s="12"/>
      <c r="G3" s="13"/>
      <c r="H3" s="741" t="s">
        <v>20</v>
      </c>
      <c r="I3" s="742"/>
      <c r="J3" s="742"/>
      <c r="K3" s="743"/>
      <c r="L3" s="13"/>
      <c r="M3" s="13"/>
    </row>
    <row r="4" spans="2:13">
      <c r="B4" s="14"/>
      <c r="C4" s="15" t="s">
        <v>26</v>
      </c>
      <c r="D4" s="16">
        <v>40210</v>
      </c>
      <c r="E4" s="16">
        <f>E30</f>
        <v>43831</v>
      </c>
      <c r="F4" s="17" t="s">
        <v>19</v>
      </c>
      <c r="G4" s="13"/>
      <c r="H4" s="18" t="s">
        <v>26</v>
      </c>
      <c r="I4" s="16">
        <v>40210</v>
      </c>
      <c r="J4" s="16">
        <f>E30</f>
        <v>43831</v>
      </c>
      <c r="K4" s="17">
        <f>E30</f>
        <v>43831</v>
      </c>
      <c r="L4" s="13"/>
      <c r="M4" s="13"/>
    </row>
    <row r="5" spans="2:13" ht="13.5" thickBot="1">
      <c r="B5" s="19"/>
      <c r="C5" s="20" t="s">
        <v>27</v>
      </c>
      <c r="D5" s="21">
        <v>163.10900000000001</v>
      </c>
      <c r="E5" s="28">
        <f>E31</f>
        <v>240.929</v>
      </c>
      <c r="F5" s="23" t="s">
        <v>241</v>
      </c>
      <c r="G5" s="13"/>
      <c r="H5" s="24" t="s">
        <v>27</v>
      </c>
      <c r="I5" s="21">
        <v>163.10900000000001</v>
      </c>
      <c r="J5" s="22">
        <f>E31</f>
        <v>240.929</v>
      </c>
      <c r="K5" s="23">
        <f>J5</f>
        <v>240.929</v>
      </c>
      <c r="L5" s="13"/>
      <c r="M5" s="13"/>
    </row>
    <row r="6" spans="2:13" ht="13.5" thickBot="1">
      <c r="B6" s="25"/>
      <c r="C6" s="26" t="s">
        <v>44</v>
      </c>
      <c r="D6" s="27"/>
      <c r="E6" s="28">
        <f>E5/D5</f>
        <v>1.4771042676982875</v>
      </c>
      <c r="F6" s="29"/>
      <c r="G6" s="13"/>
      <c r="H6" s="30" t="s">
        <v>44</v>
      </c>
      <c r="I6" s="31"/>
      <c r="J6" s="32">
        <f>J5/I5</f>
        <v>1.4771042676982875</v>
      </c>
      <c r="K6" s="33">
        <f>K5/I5</f>
        <v>1.4771042676982875</v>
      </c>
      <c r="L6" s="13"/>
      <c r="M6" s="13"/>
    </row>
    <row r="7" spans="2:13">
      <c r="B7" s="34" t="s">
        <v>1</v>
      </c>
      <c r="C7" s="35" t="s">
        <v>1</v>
      </c>
      <c r="D7" s="35" t="s">
        <v>15</v>
      </c>
      <c r="E7" s="35" t="s">
        <v>15</v>
      </c>
      <c r="F7" s="36"/>
      <c r="G7" s="13"/>
      <c r="H7" s="34" t="s">
        <v>21</v>
      </c>
      <c r="I7" s="35" t="s">
        <v>22</v>
      </c>
      <c r="J7" s="35" t="s">
        <v>22</v>
      </c>
      <c r="K7" s="36" t="s">
        <v>23</v>
      </c>
      <c r="L7" s="13"/>
      <c r="M7" s="13"/>
    </row>
    <row r="8" spans="2:13">
      <c r="B8" s="162" t="s">
        <v>39</v>
      </c>
      <c r="C8" s="37" t="s">
        <v>133</v>
      </c>
      <c r="D8" s="287">
        <v>14340.81</v>
      </c>
      <c r="E8" s="371">
        <f>D8*$E$6</f>
        <v>21182.871653250277</v>
      </c>
      <c r="F8" s="39">
        <f>E8/22</f>
        <v>962.85780242046712</v>
      </c>
      <c r="G8" s="40"/>
      <c r="H8" s="41" t="s">
        <v>134</v>
      </c>
      <c r="I8" s="42">
        <v>2278.9499999999998</v>
      </c>
      <c r="J8" s="38">
        <f>I8*$J$6</f>
        <v>3366.2467708710119</v>
      </c>
      <c r="K8" s="39">
        <f>J8/30</f>
        <v>112.20822569570039</v>
      </c>
      <c r="L8" s="40"/>
      <c r="M8" s="40"/>
    </row>
    <row r="9" spans="2:13">
      <c r="B9" s="162" t="s">
        <v>121</v>
      </c>
      <c r="C9" s="37" t="s">
        <v>2</v>
      </c>
      <c r="D9" s="287">
        <v>12462.45</v>
      </c>
      <c r="E9" s="371">
        <f t="shared" ref="E9:E23" si="0">D9*$E$6</f>
        <v>18408.338080976526</v>
      </c>
      <c r="F9" s="39">
        <f t="shared" ref="F9:F23" si="1">E9/22</f>
        <v>836.74264004438749</v>
      </c>
      <c r="G9" s="40"/>
      <c r="H9" s="43" t="s">
        <v>135</v>
      </c>
      <c r="I9" s="44">
        <v>2411.4</v>
      </c>
      <c r="J9" s="38">
        <f>I9*$J$6</f>
        <v>3561.8892311276504</v>
      </c>
      <c r="K9" s="39">
        <f>J9/30</f>
        <v>118.72964103758835</v>
      </c>
      <c r="L9" s="40"/>
      <c r="M9" s="40"/>
    </row>
    <row r="10" spans="2:13">
      <c r="B10" s="162" t="s">
        <v>122</v>
      </c>
      <c r="C10" s="37" t="s">
        <v>3</v>
      </c>
      <c r="D10" s="287">
        <v>9819.94</v>
      </c>
      <c r="E10" s="371">
        <f t="shared" si="0"/>
        <v>14505.075282541122</v>
      </c>
      <c r="F10" s="39">
        <f t="shared" si="1"/>
        <v>659.32160375186913</v>
      </c>
      <c r="G10" s="40"/>
      <c r="H10" s="43" t="s">
        <v>136</v>
      </c>
      <c r="I10" s="44">
        <v>3407.03</v>
      </c>
      <c r="J10" s="38">
        <f>I10*$J$6</f>
        <v>5032.5385531760967</v>
      </c>
      <c r="K10" s="39">
        <f>J10/30</f>
        <v>167.7512851058699</v>
      </c>
      <c r="L10" s="40"/>
      <c r="M10" s="40"/>
    </row>
    <row r="11" spans="2:13">
      <c r="B11" s="162" t="s">
        <v>123</v>
      </c>
      <c r="C11" s="37" t="s">
        <v>4</v>
      </c>
      <c r="D11" s="287">
        <v>7682.38</v>
      </c>
      <c r="E11" s="371">
        <f t="shared" si="0"/>
        <v>11347.676284079969</v>
      </c>
      <c r="F11" s="39">
        <f t="shared" si="1"/>
        <v>515.80346745818042</v>
      </c>
      <c r="G11" s="40"/>
      <c r="H11" s="43" t="s">
        <v>137</v>
      </c>
      <c r="I11" s="44">
        <v>4468.55</v>
      </c>
      <c r="J11" s="38">
        <f>I11*$J$6</f>
        <v>6600.5142754231829</v>
      </c>
      <c r="K11" s="39">
        <f>J11/30</f>
        <v>220.0171425141061</v>
      </c>
      <c r="L11" s="40"/>
      <c r="M11" s="40"/>
    </row>
    <row r="12" spans="2:13" ht="13.5" thickBot="1">
      <c r="B12" s="162" t="s">
        <v>124</v>
      </c>
      <c r="C12" s="37" t="s">
        <v>5</v>
      </c>
      <c r="D12" s="288">
        <v>6320.35</v>
      </c>
      <c r="E12" s="371">
        <f>D12*$E$6</f>
        <v>9335.8159583468714</v>
      </c>
      <c r="F12" s="39">
        <f t="shared" si="1"/>
        <v>424.35527083394868</v>
      </c>
      <c r="G12" s="40"/>
      <c r="H12" s="45" t="s">
        <v>138</v>
      </c>
      <c r="I12" s="46">
        <v>7657.59</v>
      </c>
      <c r="J12" s="47">
        <f>I12*$J$6</f>
        <v>11311.05886928373</v>
      </c>
      <c r="K12" s="48">
        <f>J12/30</f>
        <v>377.03529564279103</v>
      </c>
      <c r="L12" s="40"/>
      <c r="M12" s="40"/>
    </row>
    <row r="13" spans="2:13" ht="13.5" thickBot="1">
      <c r="B13" s="162" t="s">
        <v>125</v>
      </c>
      <c r="C13" s="37" t="s">
        <v>6</v>
      </c>
      <c r="D13" s="287">
        <v>4590</v>
      </c>
      <c r="E13" s="371">
        <v>8882.5</v>
      </c>
      <c r="F13" s="39">
        <f t="shared" si="1"/>
        <v>403.75</v>
      </c>
      <c r="G13" s="40"/>
      <c r="H13" s="40"/>
      <c r="I13" s="40"/>
      <c r="J13" s="40"/>
      <c r="K13" s="40"/>
      <c r="L13" s="40"/>
      <c r="M13" s="40"/>
    </row>
    <row r="14" spans="2:13" ht="13.5" thickBot="1">
      <c r="B14" s="162" t="s">
        <v>126</v>
      </c>
      <c r="C14" s="37" t="s">
        <v>7</v>
      </c>
      <c r="D14" s="287">
        <v>4451.99</v>
      </c>
      <c r="E14" s="371">
        <f t="shared" si="0"/>
        <v>6576.0534287500986</v>
      </c>
      <c r="F14" s="39">
        <f t="shared" si="1"/>
        <v>298.91151948864086</v>
      </c>
      <c r="G14" s="40"/>
      <c r="H14" s="741" t="s">
        <v>24</v>
      </c>
      <c r="I14" s="754"/>
      <c r="J14" s="742"/>
      <c r="K14" s="743"/>
      <c r="L14" s="40"/>
      <c r="M14" s="40"/>
    </row>
    <row r="15" spans="2:13">
      <c r="B15" s="162" t="s">
        <v>127</v>
      </c>
      <c r="C15" s="37" t="s">
        <v>8</v>
      </c>
      <c r="D15" s="287">
        <v>3395.63</v>
      </c>
      <c r="E15" s="371">
        <f t="shared" si="0"/>
        <v>5015.699564524336</v>
      </c>
      <c r="F15" s="39">
        <f t="shared" si="1"/>
        <v>227.98634384201526</v>
      </c>
      <c r="G15" s="40"/>
      <c r="H15" s="49" t="s">
        <v>21</v>
      </c>
      <c r="I15" s="50" t="s">
        <v>22</v>
      </c>
      <c r="J15" s="50" t="s">
        <v>22</v>
      </c>
      <c r="K15" s="51" t="s">
        <v>23</v>
      </c>
      <c r="L15" s="40"/>
      <c r="M15" s="40"/>
    </row>
    <row r="16" spans="2:13">
      <c r="B16" s="162" t="s">
        <v>128</v>
      </c>
      <c r="C16" s="37" t="s">
        <v>9</v>
      </c>
      <c r="D16" s="287">
        <v>2567.9499999999998</v>
      </c>
      <c r="E16" s="371">
        <f t="shared" si="0"/>
        <v>3793.1299042358173</v>
      </c>
      <c r="F16" s="39">
        <f t="shared" si="1"/>
        <v>172.41499564708261</v>
      </c>
      <c r="G16" s="40"/>
      <c r="H16" s="52" t="s">
        <v>139</v>
      </c>
      <c r="I16" s="53">
        <v>1259.26</v>
      </c>
      <c r="J16" s="38">
        <f>J5/D5*I16</f>
        <v>1860.0583201417455</v>
      </c>
      <c r="K16" s="39">
        <f t="shared" ref="K16:K22" si="2">J16/30</f>
        <v>62.001944004724848</v>
      </c>
      <c r="L16" s="40"/>
      <c r="M16" s="40"/>
    </row>
    <row r="17" spans="2:13">
      <c r="B17" s="162" t="s">
        <v>129</v>
      </c>
      <c r="C17" s="37" t="s">
        <v>16</v>
      </c>
      <c r="D17" s="287">
        <v>2061.13</v>
      </c>
      <c r="E17" s="371">
        <f t="shared" si="0"/>
        <v>3044.5039192809713</v>
      </c>
      <c r="F17" s="39">
        <f t="shared" si="1"/>
        <v>138.38654178549871</v>
      </c>
      <c r="G17" s="40"/>
      <c r="H17" s="41" t="s">
        <v>75</v>
      </c>
      <c r="I17" s="53">
        <v>221.27</v>
      </c>
      <c r="J17" s="38">
        <f>J5/D5*I17</f>
        <v>326.83886131360009</v>
      </c>
      <c r="K17" s="39">
        <f t="shared" si="2"/>
        <v>10.894628710453336</v>
      </c>
      <c r="L17" s="40"/>
      <c r="M17" s="40"/>
    </row>
    <row r="18" spans="2:13" ht="12.75" customHeight="1">
      <c r="B18" s="162" t="s">
        <v>130</v>
      </c>
      <c r="C18" s="37" t="s">
        <v>10</v>
      </c>
      <c r="D18" s="287">
        <v>1539.79</v>
      </c>
      <c r="E18" s="371">
        <f t="shared" si="0"/>
        <v>2274.4303803591461</v>
      </c>
      <c r="F18" s="39">
        <f t="shared" si="1"/>
        <v>103.38319910723391</v>
      </c>
      <c r="G18" s="40"/>
      <c r="H18" s="54" t="s">
        <v>140</v>
      </c>
      <c r="I18" s="53">
        <v>9182.69</v>
      </c>
      <c r="J18" s="38">
        <f>J5/D5*I18</f>
        <v>13563.790587950389</v>
      </c>
      <c r="K18" s="39">
        <f t="shared" si="2"/>
        <v>452.12635293167961</v>
      </c>
      <c r="L18" s="40"/>
      <c r="M18" s="40"/>
    </row>
    <row r="19" spans="2:13">
      <c r="B19" s="162" t="s">
        <v>131</v>
      </c>
      <c r="C19" s="37" t="s">
        <v>11</v>
      </c>
      <c r="D19" s="287">
        <v>3567.02</v>
      </c>
      <c r="E19" s="371">
        <f t="shared" si="0"/>
        <v>5268.8604649651452</v>
      </c>
      <c r="F19" s="39">
        <f t="shared" si="1"/>
        <v>239.4936574984157</v>
      </c>
      <c r="G19" s="40"/>
      <c r="H19" s="52" t="s">
        <v>141</v>
      </c>
      <c r="I19" s="53">
        <v>5773.32</v>
      </c>
      <c r="J19" s="38">
        <f>J5/D5*I19</f>
        <v>8527.7956107878763</v>
      </c>
      <c r="K19" s="39">
        <f t="shared" si="2"/>
        <v>284.2598536929292</v>
      </c>
      <c r="L19" s="40"/>
      <c r="M19" s="40"/>
    </row>
    <row r="20" spans="2:13">
      <c r="B20" s="162" t="s">
        <v>47</v>
      </c>
      <c r="C20" s="37" t="s">
        <v>12</v>
      </c>
      <c r="D20" s="287">
        <v>2142.04</v>
      </c>
      <c r="E20" s="371">
        <f t="shared" si="0"/>
        <v>3164.0164255804398</v>
      </c>
      <c r="F20" s="39">
        <f t="shared" si="1"/>
        <v>143.81892843547453</v>
      </c>
      <c r="G20" s="40"/>
      <c r="H20" s="52" t="s">
        <v>142</v>
      </c>
      <c r="I20" s="53">
        <v>1786.38</v>
      </c>
      <c r="J20" s="38">
        <f>J5/D5*I20</f>
        <v>2638.669521730867</v>
      </c>
      <c r="K20" s="39">
        <f t="shared" si="2"/>
        <v>87.955650724362229</v>
      </c>
      <c r="L20" s="40"/>
      <c r="M20" s="40"/>
    </row>
    <row r="21" spans="2:13" ht="13.5" customHeight="1">
      <c r="B21" s="163" t="s">
        <v>132</v>
      </c>
      <c r="C21" s="37" t="s">
        <v>13</v>
      </c>
      <c r="D21" s="287">
        <v>1383.94</v>
      </c>
      <c r="E21" s="371">
        <f t="shared" si="0"/>
        <v>2044.2236802383682</v>
      </c>
      <c r="F21" s="39">
        <f t="shared" si="1"/>
        <v>92.919258192653103</v>
      </c>
      <c r="G21" s="40"/>
      <c r="H21" s="52" t="s">
        <v>143</v>
      </c>
      <c r="I21" s="53">
        <v>2760.76</v>
      </c>
      <c r="J21" s="38">
        <f>J5/D5*I21</f>
        <v>4077.9303780907244</v>
      </c>
      <c r="K21" s="39">
        <f t="shared" si="2"/>
        <v>135.93101260302416</v>
      </c>
      <c r="L21" s="40"/>
      <c r="M21" s="40"/>
    </row>
    <row r="22" spans="2:13" ht="15" customHeight="1" thickBot="1">
      <c r="B22" s="162" t="s">
        <v>40</v>
      </c>
      <c r="C22" s="37" t="s">
        <v>17</v>
      </c>
      <c r="D22" s="287">
        <v>1206.48</v>
      </c>
      <c r="E22" s="371">
        <f t="shared" si="0"/>
        <v>1782.0967568926299</v>
      </c>
      <c r="F22" s="39">
        <f t="shared" si="1"/>
        <v>81.004398040574088</v>
      </c>
      <c r="G22" s="40"/>
      <c r="H22" s="55" t="s">
        <v>144</v>
      </c>
      <c r="I22" s="56">
        <v>2192.37</v>
      </c>
      <c r="J22" s="47">
        <f>J5/D5*I22</f>
        <v>3238.3590833736944</v>
      </c>
      <c r="K22" s="48">
        <f t="shared" si="2"/>
        <v>107.94530277912314</v>
      </c>
      <c r="L22" s="40"/>
      <c r="M22" s="40"/>
    </row>
    <row r="23" spans="2:13" ht="13.5" thickBot="1">
      <c r="B23" s="164" t="s">
        <v>41</v>
      </c>
      <c r="C23" s="165" t="s">
        <v>18</v>
      </c>
      <c r="D23" s="289">
        <v>1229.6199999999999</v>
      </c>
      <c r="E23" s="492">
        <f t="shared" si="0"/>
        <v>1816.2769496471681</v>
      </c>
      <c r="F23" s="48">
        <f t="shared" si="1"/>
        <v>82.558043165780362</v>
      </c>
      <c r="G23" s="40"/>
      <c r="H23" s="40"/>
      <c r="I23" s="40"/>
      <c r="J23" s="40"/>
      <c r="K23" s="40"/>
      <c r="L23" s="40"/>
      <c r="M23" s="40"/>
    </row>
    <row r="24" spans="2:13" ht="13.5" thickBot="1">
      <c r="B24" s="143"/>
      <c r="C24" s="58"/>
      <c r="D24" s="61"/>
      <c r="E24" s="144"/>
      <c r="F24" s="144"/>
      <c r="G24" s="40"/>
      <c r="H24" s="739" t="s">
        <v>25</v>
      </c>
      <c r="I24" s="740"/>
      <c r="J24" s="57"/>
      <c r="K24" s="58"/>
      <c r="L24" s="40"/>
      <c r="M24" s="40"/>
    </row>
    <row r="25" spans="2:13" ht="13.5" thickBot="1">
      <c r="B25" s="59"/>
      <c r="C25" s="60"/>
      <c r="D25" s="61"/>
      <c r="E25" s="60"/>
      <c r="F25" s="60"/>
      <c r="G25" s="40"/>
      <c r="H25" s="49" t="s">
        <v>21</v>
      </c>
      <c r="I25" s="51" t="s">
        <v>15</v>
      </c>
      <c r="J25" s="58"/>
      <c r="K25" s="58"/>
      <c r="L25" s="40"/>
      <c r="M25" s="40"/>
    </row>
    <row r="26" spans="2:13">
      <c r="B26" s="749" t="s">
        <v>145</v>
      </c>
      <c r="C26" s="750"/>
      <c r="D26" s="750"/>
      <c r="E26" s="166"/>
      <c r="F26" s="167"/>
      <c r="G26" s="40"/>
      <c r="H26" s="493" t="s">
        <v>18</v>
      </c>
      <c r="I26" s="39">
        <v>0.3</v>
      </c>
      <c r="J26" s="40"/>
      <c r="K26" s="40"/>
      <c r="L26" s="40"/>
      <c r="M26" s="40"/>
    </row>
    <row r="27" spans="2:13" ht="49.5" customHeight="1" thickBot="1">
      <c r="B27" s="168" t="s">
        <v>146</v>
      </c>
      <c r="C27" s="169" t="s">
        <v>179</v>
      </c>
      <c r="D27" s="747" t="s">
        <v>301</v>
      </c>
      <c r="E27" s="747"/>
      <c r="F27" s="748"/>
      <c r="G27" s="158"/>
      <c r="H27" s="494" t="s">
        <v>13</v>
      </c>
      <c r="I27" s="48">
        <v>5</v>
      </c>
      <c r="J27" s="40"/>
      <c r="K27" s="40"/>
      <c r="L27" s="40"/>
      <c r="M27" s="40"/>
    </row>
    <row r="28" spans="2:13" ht="30" customHeight="1" thickBot="1">
      <c r="B28" s="168" t="s">
        <v>147</v>
      </c>
      <c r="C28" s="60"/>
      <c r="D28" s="747" t="s">
        <v>677</v>
      </c>
      <c r="E28" s="747"/>
      <c r="F28" s="748"/>
      <c r="G28" s="159"/>
      <c r="H28" s="494" t="s">
        <v>87</v>
      </c>
      <c r="I28" s="48">
        <v>2.13</v>
      </c>
      <c r="J28" s="40"/>
      <c r="K28" s="40"/>
      <c r="L28" s="40"/>
      <c r="M28" s="40"/>
    </row>
    <row r="29" spans="2:13" ht="29.25" customHeight="1" thickBot="1">
      <c r="B29" s="168" t="s">
        <v>148</v>
      </c>
      <c r="C29" s="60"/>
      <c r="D29" s="747"/>
      <c r="E29" s="747"/>
      <c r="F29" s="748"/>
      <c r="G29" s="159"/>
      <c r="H29" s="40"/>
      <c r="I29" s="40"/>
      <c r="J29" s="40"/>
      <c r="K29" s="40"/>
      <c r="L29" s="40"/>
      <c r="M29" s="40"/>
    </row>
    <row r="30" spans="2:13" ht="23.25" thickBot="1">
      <c r="B30" s="168" t="s">
        <v>149</v>
      </c>
      <c r="C30" s="169" t="s">
        <v>42</v>
      </c>
      <c r="D30" s="169"/>
      <c r="E30" s="170">
        <v>43831</v>
      </c>
      <c r="F30" s="171"/>
      <c r="G30" s="40"/>
      <c r="H30" s="741" t="s">
        <v>28</v>
      </c>
      <c r="I30" s="742"/>
      <c r="J30" s="742"/>
      <c r="K30" s="743"/>
      <c r="L30" s="40"/>
      <c r="M30" s="40"/>
    </row>
    <row r="31" spans="2:13" ht="22.5">
      <c r="B31" s="168" t="s">
        <v>150</v>
      </c>
      <c r="C31" s="169" t="s">
        <v>43</v>
      </c>
      <c r="D31" s="169"/>
      <c r="E31" s="172">
        <v>240.929</v>
      </c>
      <c r="F31" s="171"/>
      <c r="G31" s="40"/>
      <c r="H31" s="34" t="s">
        <v>21</v>
      </c>
      <c r="I31" s="35" t="s">
        <v>22</v>
      </c>
      <c r="J31" s="35" t="s">
        <v>22</v>
      </c>
      <c r="K31" s="36" t="s">
        <v>23</v>
      </c>
      <c r="L31" s="40"/>
      <c r="M31" s="40"/>
    </row>
    <row r="32" spans="2:13" ht="22.5">
      <c r="B32" s="168" t="s">
        <v>151</v>
      </c>
      <c r="C32" s="169"/>
      <c r="D32" s="60"/>
      <c r="E32" s="60"/>
      <c r="F32" s="171"/>
      <c r="G32" s="40"/>
      <c r="H32" s="52" t="s">
        <v>74</v>
      </c>
      <c r="I32" s="53">
        <v>1279.3399999999999</v>
      </c>
      <c r="J32" s="38">
        <f>J5/D5*I32</f>
        <v>1889.718573837127</v>
      </c>
      <c r="K32" s="39">
        <f>J32/30</f>
        <v>62.990619127904232</v>
      </c>
      <c r="L32" s="40"/>
      <c r="M32" s="40"/>
    </row>
    <row r="33" spans="2:13" ht="22.5">
      <c r="B33" s="168" t="s">
        <v>152</v>
      </c>
      <c r="C33" s="173"/>
      <c r="D33" s="169"/>
      <c r="E33" s="57"/>
      <c r="F33" s="171"/>
      <c r="G33" s="40"/>
      <c r="H33" s="52" t="s">
        <v>153</v>
      </c>
      <c r="I33" s="53">
        <v>1467.32</v>
      </c>
      <c r="J33" s="38">
        <f>J5/D5*I33</f>
        <v>2167.384634079051</v>
      </c>
      <c r="K33" s="39">
        <f>J33/30</f>
        <v>72.2461544693017</v>
      </c>
      <c r="L33" s="40"/>
      <c r="M33" s="40"/>
    </row>
    <row r="34" spans="2:13" ht="23.25" thickBot="1">
      <c r="B34" s="168" t="s">
        <v>154</v>
      </c>
      <c r="C34" s="173"/>
      <c r="D34" s="169"/>
      <c r="E34" s="57"/>
      <c r="F34" s="171"/>
      <c r="G34" s="40"/>
      <c r="H34" s="55" t="s">
        <v>155</v>
      </c>
      <c r="I34" s="56">
        <v>1283.9000000000001</v>
      </c>
      <c r="J34" s="47">
        <f>J5/D5*I34</f>
        <v>1896.4541692978314</v>
      </c>
      <c r="K34" s="48">
        <f>J34/30</f>
        <v>63.215138976594382</v>
      </c>
      <c r="L34" s="40"/>
      <c r="M34" s="40"/>
    </row>
    <row r="35" spans="2:13" ht="23.25" thickBot="1">
      <c r="B35" s="168" t="s">
        <v>156</v>
      </c>
      <c r="C35" s="173"/>
      <c r="D35" s="60"/>
      <c r="E35" s="60"/>
      <c r="F35" s="171"/>
      <c r="G35" s="40"/>
      <c r="H35" s="40"/>
      <c r="I35" s="40"/>
      <c r="J35" s="40"/>
      <c r="K35" s="40"/>
      <c r="L35" s="40"/>
      <c r="M35" s="40"/>
    </row>
    <row r="36" spans="2:13" ht="23.25" thickBot="1">
      <c r="B36" s="168" t="s">
        <v>157</v>
      </c>
      <c r="C36" s="173"/>
      <c r="D36" s="169"/>
      <c r="E36" s="144"/>
      <c r="F36" s="171"/>
      <c r="G36" s="40"/>
      <c r="H36" s="741" t="s">
        <v>29</v>
      </c>
      <c r="I36" s="742"/>
      <c r="J36" s="742"/>
      <c r="K36" s="743"/>
      <c r="L36" s="40"/>
      <c r="M36" s="40"/>
    </row>
    <row r="37" spans="2:13" ht="28.5" customHeight="1">
      <c r="B37" s="168" t="s">
        <v>158</v>
      </c>
      <c r="C37" s="174"/>
      <c r="D37" s="169"/>
      <c r="E37" s="144"/>
      <c r="F37" s="171"/>
      <c r="G37" s="40"/>
      <c r="H37" s="49" t="s">
        <v>21</v>
      </c>
      <c r="I37" s="50" t="s">
        <v>22</v>
      </c>
      <c r="J37" s="50" t="s">
        <v>22</v>
      </c>
      <c r="K37" s="51" t="s">
        <v>23</v>
      </c>
      <c r="L37" s="40"/>
      <c r="M37" s="40"/>
    </row>
    <row r="38" spans="2:13" ht="22.5">
      <c r="B38" s="168" t="s">
        <v>159</v>
      </c>
      <c r="C38" s="174"/>
      <c r="D38" s="169"/>
      <c r="E38" s="144"/>
      <c r="F38" s="171"/>
      <c r="G38" s="40"/>
      <c r="H38" s="52" t="s">
        <v>160</v>
      </c>
      <c r="I38" s="62">
        <v>550.22</v>
      </c>
      <c r="J38" s="423">
        <f>J5/I5 *I38</f>
        <v>812.73231017295177</v>
      </c>
      <c r="K38" s="39">
        <f>J38/30</f>
        <v>27.091077005765058</v>
      </c>
      <c r="L38" s="40"/>
      <c r="M38" s="40"/>
    </row>
    <row r="39" spans="2:13" ht="13.5" thickBot="1">
      <c r="B39" s="175"/>
      <c r="C39" s="174"/>
      <c r="D39" s="169"/>
      <c r="E39" s="144"/>
      <c r="F39" s="171"/>
      <c r="G39" s="40"/>
      <c r="H39" s="55" t="s">
        <v>155</v>
      </c>
      <c r="I39" s="63">
        <v>458.53</v>
      </c>
      <c r="J39" s="522">
        <f>J5/I5 *I39</f>
        <v>677.29661986769577</v>
      </c>
      <c r="K39" s="48">
        <f>J39/30</f>
        <v>22.576553995589858</v>
      </c>
      <c r="L39" s="40"/>
      <c r="M39" s="40"/>
    </row>
    <row r="40" spans="2:13" ht="13.5" thickBot="1">
      <c r="B40" s="176"/>
      <c r="C40" s="177"/>
      <c r="D40" s="60"/>
      <c r="E40" s="60"/>
      <c r="F40" s="171"/>
      <c r="G40" s="40"/>
      <c r="H40" s="40"/>
      <c r="I40" s="40"/>
      <c r="J40" s="40"/>
      <c r="K40" s="40"/>
      <c r="L40" s="40"/>
      <c r="M40" s="40"/>
    </row>
    <row r="41" spans="2:13">
      <c r="B41" s="176"/>
      <c r="C41" s="174"/>
      <c r="D41" s="169"/>
      <c r="E41" s="57"/>
      <c r="F41" s="178"/>
      <c r="G41" s="10"/>
      <c r="H41" s="744" t="s">
        <v>24</v>
      </c>
      <c r="I41" s="745"/>
      <c r="J41" s="745"/>
      <c r="K41" s="746"/>
      <c r="L41" s="10"/>
      <c r="M41" s="10"/>
    </row>
    <row r="42" spans="2:13">
      <c r="B42" s="179"/>
      <c r="C42" s="180"/>
      <c r="D42" s="181"/>
      <c r="E42" s="182"/>
      <c r="F42" s="178"/>
      <c r="G42" s="10"/>
      <c r="H42" s="188" t="s">
        <v>21</v>
      </c>
      <c r="I42" s="64" t="s">
        <v>26</v>
      </c>
      <c r="J42" s="64" t="s">
        <v>26</v>
      </c>
      <c r="K42" s="142" t="s">
        <v>23</v>
      </c>
      <c r="L42" s="10"/>
      <c r="M42" s="10"/>
    </row>
    <row r="43" spans="2:13" ht="13.5" thickBot="1">
      <c r="B43" s="179"/>
      <c r="C43" s="173"/>
      <c r="D43" s="181"/>
      <c r="E43" s="286"/>
      <c r="F43" s="178"/>
      <c r="G43" s="10"/>
      <c r="H43" s="55" t="s">
        <v>75</v>
      </c>
      <c r="I43" s="56">
        <v>221.27</v>
      </c>
      <c r="J43" s="189">
        <f>J5/D5*I43</f>
        <v>326.83886131360009</v>
      </c>
      <c r="K43" s="190">
        <f>J43/30</f>
        <v>10.894628710453336</v>
      </c>
      <c r="L43" s="10"/>
      <c r="M43" s="10"/>
    </row>
    <row r="44" spans="2:13" ht="13.5" thickBot="1">
      <c r="B44" s="183"/>
      <c r="C44" s="184"/>
      <c r="D44" s="185"/>
      <c r="E44" s="186"/>
      <c r="F44" s="187"/>
      <c r="G44" s="10"/>
      <c r="H44" s="10"/>
      <c r="I44" s="10"/>
      <c r="J44" s="10"/>
      <c r="K44" s="10"/>
      <c r="L44" s="10"/>
      <c r="M44" s="10"/>
    </row>
    <row r="45" spans="2:13">
      <c r="B45" s="10"/>
      <c r="C45" s="110"/>
      <c r="D45" s="10"/>
      <c r="E45" s="156"/>
      <c r="F45" s="10"/>
      <c r="G45" s="10"/>
      <c r="H45" s="733" t="s">
        <v>88</v>
      </c>
      <c r="I45" s="734"/>
      <c r="J45" s="734"/>
      <c r="K45" s="734"/>
      <c r="L45" s="734"/>
      <c r="M45" s="735"/>
    </row>
    <row r="46" spans="2:13">
      <c r="B46" s="10"/>
      <c r="C46" s="155"/>
      <c r="D46" s="10"/>
      <c r="E46" s="156"/>
      <c r="F46" s="10"/>
      <c r="G46" s="10"/>
      <c r="H46" s="736" t="s">
        <v>56</v>
      </c>
      <c r="I46" s="737" t="s">
        <v>89</v>
      </c>
      <c r="J46" s="737"/>
      <c r="K46" s="737"/>
      <c r="L46" s="737"/>
      <c r="M46" s="191"/>
    </row>
    <row r="47" spans="2:13">
      <c r="B47" s="10"/>
      <c r="C47" s="155"/>
      <c r="D47" s="10"/>
      <c r="E47" s="156"/>
      <c r="F47" s="10"/>
      <c r="G47" s="10"/>
      <c r="H47" s="736"/>
      <c r="I47" s="417" t="s">
        <v>90</v>
      </c>
      <c r="J47" s="738" t="s">
        <v>91</v>
      </c>
      <c r="K47" s="738"/>
      <c r="L47" s="417" t="s">
        <v>92</v>
      </c>
      <c r="M47" s="192" t="s">
        <v>93</v>
      </c>
    </row>
    <row r="48" spans="2:13">
      <c r="B48" s="714" t="s">
        <v>364</v>
      </c>
      <c r="C48" s="715"/>
      <c r="D48" s="10"/>
      <c r="E48" s="156"/>
      <c r="F48" s="10"/>
      <c r="G48" s="10"/>
      <c r="H48" s="193" t="s">
        <v>178</v>
      </c>
      <c r="I48" s="66">
        <v>267.89999999999998</v>
      </c>
      <c r="J48" s="726">
        <v>253.8</v>
      </c>
      <c r="K48" s="727"/>
      <c r="L48" s="66">
        <v>239.7</v>
      </c>
      <c r="M48" s="194">
        <v>211.5</v>
      </c>
    </row>
    <row r="49" spans="2:13">
      <c r="B49" s="520" t="s">
        <v>21</v>
      </c>
      <c r="C49" s="520" t="s">
        <v>365</v>
      </c>
      <c r="D49" s="10"/>
      <c r="E49" s="156"/>
      <c r="F49" s="10"/>
      <c r="G49" s="10"/>
      <c r="H49" s="193" t="s">
        <v>94</v>
      </c>
      <c r="I49" s="66">
        <v>224.2</v>
      </c>
      <c r="J49" s="726">
        <v>212.4</v>
      </c>
      <c r="K49" s="727"/>
      <c r="L49" s="66">
        <v>200.6</v>
      </c>
      <c r="M49" s="194">
        <v>177</v>
      </c>
    </row>
    <row r="50" spans="2:13" ht="13.5" thickBot="1">
      <c r="B50" s="521" t="s">
        <v>366</v>
      </c>
      <c r="C50" s="523">
        <v>1500</v>
      </c>
      <c r="D50" s="297"/>
      <c r="E50" s="298"/>
      <c r="F50" s="10"/>
      <c r="G50" s="10"/>
      <c r="H50" s="195" t="s">
        <v>95</v>
      </c>
      <c r="I50" s="196">
        <v>224.2</v>
      </c>
      <c r="J50" s="728">
        <v>212.4</v>
      </c>
      <c r="K50" s="729"/>
      <c r="L50" s="196">
        <v>200.6</v>
      </c>
      <c r="M50" s="197">
        <v>177</v>
      </c>
    </row>
    <row r="51" spans="2:13">
      <c r="B51" s="521" t="s">
        <v>367</v>
      </c>
      <c r="C51" s="523">
        <v>250</v>
      </c>
      <c r="D51" s="10"/>
      <c r="E51" s="67"/>
      <c r="F51" s="10"/>
      <c r="G51" s="10"/>
      <c r="H51" s="10"/>
      <c r="I51" s="10"/>
      <c r="J51" s="10"/>
      <c r="K51" s="10"/>
      <c r="L51" s="10"/>
      <c r="M51" s="10"/>
    </row>
    <row r="52" spans="2:13">
      <c r="B52" s="521" t="s">
        <v>368</v>
      </c>
      <c r="C52" s="523">
        <v>220</v>
      </c>
      <c r="D52" s="10"/>
      <c r="E52" s="10"/>
      <c r="F52" s="10"/>
      <c r="G52" s="10"/>
      <c r="H52" s="730" t="s">
        <v>96</v>
      </c>
      <c r="I52" s="731"/>
      <c r="J52" s="731"/>
      <c r="K52" s="731"/>
      <c r="L52" s="731"/>
      <c r="M52" s="732"/>
    </row>
    <row r="53" spans="2:13" ht="13.5" thickBot="1">
      <c r="B53" s="521" t="s">
        <v>369</v>
      </c>
      <c r="C53" s="523">
        <v>80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</row>
    <row r="54" spans="2:13">
      <c r="B54" s="10"/>
      <c r="C54" s="10"/>
      <c r="D54" s="10"/>
      <c r="E54" s="10"/>
      <c r="F54" s="10"/>
      <c r="G54" s="10"/>
      <c r="H54" s="733" t="s">
        <v>97</v>
      </c>
      <c r="I54" s="734"/>
      <c r="J54" s="734"/>
      <c r="K54" s="734"/>
      <c r="L54" s="734"/>
      <c r="M54" s="735"/>
    </row>
    <row r="55" spans="2:13">
      <c r="B55" s="10"/>
      <c r="C55" s="10"/>
      <c r="D55" s="10"/>
      <c r="E55" s="10"/>
      <c r="F55" s="10"/>
      <c r="G55" s="10"/>
      <c r="H55" s="193" t="s">
        <v>98</v>
      </c>
      <c r="I55" s="724" t="s">
        <v>99</v>
      </c>
      <c r="J55" s="724"/>
      <c r="K55" s="719" t="s">
        <v>100</v>
      </c>
      <c r="L55" s="720"/>
      <c r="M55" s="721"/>
    </row>
    <row r="56" spans="2:13">
      <c r="B56" s="10"/>
      <c r="C56" s="10"/>
      <c r="D56" s="10"/>
      <c r="E56" s="10"/>
      <c r="F56" s="10"/>
      <c r="G56" s="10"/>
      <c r="H56" s="193" t="s">
        <v>101</v>
      </c>
      <c r="I56" s="68" t="s">
        <v>102</v>
      </c>
      <c r="J56" s="68"/>
      <c r="K56" s="722" t="s">
        <v>103</v>
      </c>
      <c r="L56" s="722"/>
      <c r="M56" s="723"/>
    </row>
    <row r="57" spans="2:13">
      <c r="B57" s="10"/>
      <c r="C57" s="10"/>
      <c r="D57" s="10"/>
      <c r="E57" s="10"/>
      <c r="F57" s="10"/>
      <c r="G57" s="10"/>
      <c r="H57" s="193" t="s">
        <v>104</v>
      </c>
      <c r="I57" s="724" t="s">
        <v>105</v>
      </c>
      <c r="J57" s="724"/>
      <c r="K57" s="68" t="s">
        <v>106</v>
      </c>
      <c r="L57" s="68"/>
      <c r="M57" s="198"/>
    </row>
    <row r="58" spans="2:13" ht="13.5" thickBot="1">
      <c r="B58" s="10"/>
      <c r="C58" s="10"/>
      <c r="D58" s="10"/>
      <c r="E58" s="10"/>
      <c r="F58" s="10"/>
      <c r="G58" s="10"/>
      <c r="H58" s="195" t="s">
        <v>107</v>
      </c>
      <c r="I58" s="725" t="s">
        <v>108</v>
      </c>
      <c r="J58" s="725"/>
      <c r="K58" s="716"/>
      <c r="L58" s="717"/>
      <c r="M58" s="718"/>
    </row>
    <row r="72" spans="8:11">
      <c r="J72" s="301"/>
      <c r="K72" s="300"/>
    </row>
    <row r="73" spans="8:11">
      <c r="H73" s="140"/>
      <c r="J73" s="301"/>
      <c r="K73" s="300"/>
    </row>
    <row r="82" spans="7:8">
      <c r="G82" s="7"/>
    </row>
    <row r="83" spans="7:8" ht="16.5" customHeight="1"/>
    <row r="91" spans="7:8">
      <c r="G91" s="7"/>
    </row>
    <row r="92" spans="7:8" ht="16.5" customHeight="1"/>
    <row r="94" spans="7:8">
      <c r="G94" s="140"/>
      <c r="H94" s="140"/>
    </row>
    <row r="95" spans="7:8">
      <c r="G95" s="140"/>
      <c r="H95" s="140"/>
    </row>
    <row r="96" spans="7:8">
      <c r="G96" s="140"/>
      <c r="H96" s="140"/>
    </row>
    <row r="97" spans="7:8">
      <c r="G97" s="140"/>
      <c r="H97" s="140"/>
    </row>
    <row r="98" spans="7:8">
      <c r="G98" s="140"/>
      <c r="H98" s="140"/>
    </row>
    <row r="99" spans="7:8">
      <c r="G99" s="140"/>
      <c r="H99" s="140"/>
    </row>
    <row r="100" spans="7:8">
      <c r="G100" s="140"/>
      <c r="H100" s="140"/>
    </row>
    <row r="101" spans="7:8" ht="16.5" customHeight="1"/>
    <row r="109" spans="7:8">
      <c r="G109" s="7"/>
    </row>
    <row r="110" spans="7:8" ht="16.5" customHeight="1"/>
    <row r="119" ht="16.5" customHeight="1"/>
  </sheetData>
  <mergeCells count="28">
    <mergeCell ref="D28:F28"/>
    <mergeCell ref="D29:F29"/>
    <mergeCell ref="B26:D26"/>
    <mergeCell ref="B1:K1"/>
    <mergeCell ref="C3:E3"/>
    <mergeCell ref="H3:K3"/>
    <mergeCell ref="H14:K14"/>
    <mergeCell ref="D27:F27"/>
    <mergeCell ref="H46:H47"/>
    <mergeCell ref="I46:L46"/>
    <mergeCell ref="J47:K47"/>
    <mergeCell ref="H24:I24"/>
    <mergeCell ref="H30:K30"/>
    <mergeCell ref="H36:K36"/>
    <mergeCell ref="H41:K41"/>
    <mergeCell ref="H45:M45"/>
    <mergeCell ref="B48:C48"/>
    <mergeCell ref="K58:M58"/>
    <mergeCell ref="K55:M55"/>
    <mergeCell ref="K56:M56"/>
    <mergeCell ref="I57:J57"/>
    <mergeCell ref="I58:J58"/>
    <mergeCell ref="I55:J55"/>
    <mergeCell ref="J48:K48"/>
    <mergeCell ref="J49:K49"/>
    <mergeCell ref="J50:K50"/>
    <mergeCell ref="H52:M52"/>
    <mergeCell ref="H54:M54"/>
  </mergeCells>
  <phoneticPr fontId="24" type="noConversion"/>
  <pageMargins left="0.51181102362204722" right="0.51181102362204722" top="0.78740157480314965" bottom="0.78740157480314965" header="0.31496062992125984" footer="0.31496062992125984"/>
  <pageSetup paperSize="9" scale="48" orientation="portrait" r:id="rId1"/>
  <rowBreaks count="1" manualBreakCount="1">
    <brk id="59" min="1" max="37" man="1"/>
  </rowBreaks>
  <colBreaks count="2" manualBreakCount="2">
    <brk id="13" max="133" man="1"/>
    <brk id="26" max="133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7"/>
  <sheetViews>
    <sheetView topLeftCell="A40" zoomScaleSheetLayoutView="100" workbookViewId="0">
      <selection activeCell="L59" sqref="L59"/>
    </sheetView>
  </sheetViews>
  <sheetFormatPr defaultRowHeight="12.75"/>
  <cols>
    <col min="1" max="1" width="4" style="9" customWidth="1"/>
    <col min="2" max="2" width="40.140625" style="9" customWidth="1"/>
    <col min="3" max="3" width="7.28515625" style="9" customWidth="1"/>
    <col min="4" max="4" width="13.140625" style="9" customWidth="1"/>
    <col min="5" max="5" width="11.42578125" style="9" customWidth="1"/>
    <col min="6" max="6" width="11" style="9" customWidth="1"/>
    <col min="7" max="7" width="8.42578125" style="9" customWidth="1"/>
    <col min="8" max="8" width="13.5703125" style="9" customWidth="1"/>
    <col min="9" max="9" width="18.5703125" style="9" customWidth="1"/>
    <col min="10" max="10" width="9.140625" style="9"/>
    <col min="11" max="11" width="11.28515625" style="9" bestFit="1" customWidth="1"/>
    <col min="12" max="12" width="14.28515625" style="9" bestFit="1" customWidth="1"/>
    <col min="13" max="16384" width="9.140625" style="9"/>
  </cols>
  <sheetData>
    <row r="1" spans="2:10" ht="13.5" thickBot="1">
      <c r="B1" s="898"/>
      <c r="C1" s="898"/>
      <c r="D1" s="898"/>
      <c r="E1" s="898"/>
      <c r="F1" s="898"/>
      <c r="G1" s="898"/>
      <c r="H1" s="898"/>
      <c r="I1" s="898"/>
    </row>
    <row r="2" spans="2:10" ht="18" customHeight="1">
      <c r="B2" s="777" t="str">
        <f>DADOS!D27</f>
        <v>GESTÃO AMBIENTAL - BR-158/MT</v>
      </c>
      <c r="C2" s="778"/>
      <c r="D2" s="778"/>
      <c r="E2" s="778"/>
      <c r="F2" s="778"/>
      <c r="G2" s="778"/>
      <c r="H2" s="778"/>
      <c r="I2" s="779"/>
    </row>
    <row r="3" spans="2:10" ht="15.75" customHeight="1">
      <c r="B3" s="881" t="s">
        <v>374</v>
      </c>
      <c r="C3" s="886"/>
      <c r="D3" s="886"/>
      <c r="E3" s="886"/>
      <c r="F3" s="886"/>
      <c r="G3" s="886"/>
      <c r="H3" s="886"/>
      <c r="I3" s="963"/>
    </row>
    <row r="4" spans="2:10">
      <c r="B4" s="147">
        <f>DADOS!E30</f>
        <v>43831</v>
      </c>
      <c r="C4" s="894"/>
      <c r="D4" s="961"/>
      <c r="E4" s="961"/>
      <c r="F4" s="961"/>
      <c r="G4" s="961"/>
      <c r="H4" s="961"/>
      <c r="I4" s="962"/>
    </row>
    <row r="5" spans="2:10">
      <c r="B5" s="77" t="s">
        <v>37</v>
      </c>
      <c r="C5" s="894"/>
      <c r="D5" s="961"/>
      <c r="E5" s="961"/>
      <c r="F5" s="961"/>
      <c r="G5" s="961"/>
      <c r="H5" s="961"/>
      <c r="I5" s="962"/>
    </row>
    <row r="6" spans="2:10">
      <c r="B6" s="958" t="s">
        <v>51</v>
      </c>
      <c r="C6" s="959"/>
      <c r="D6" s="78"/>
      <c r="E6" s="773" t="s">
        <v>30</v>
      </c>
      <c r="F6" s="773"/>
      <c r="G6" s="774"/>
      <c r="H6" s="773" t="s">
        <v>52</v>
      </c>
      <c r="I6" s="960"/>
    </row>
    <row r="7" spans="2:10">
      <c r="B7" s="958" t="s">
        <v>650</v>
      </c>
      <c r="C7" s="959"/>
      <c r="D7" s="76"/>
      <c r="E7" s="76"/>
      <c r="F7" s="76"/>
      <c r="G7" s="76"/>
      <c r="H7" s="79"/>
      <c r="I7" s="80"/>
    </row>
    <row r="8" spans="2:10">
      <c r="B8" s="77" t="s">
        <v>55</v>
      </c>
      <c r="C8" s="78" t="s">
        <v>659</v>
      </c>
      <c r="D8" s="79" t="s">
        <v>46</v>
      </c>
      <c r="E8" s="79" t="s">
        <v>57</v>
      </c>
      <c r="F8" s="303" t="s">
        <v>240</v>
      </c>
      <c r="G8" s="79" t="s">
        <v>49</v>
      </c>
      <c r="H8" s="79" t="s">
        <v>54</v>
      </c>
      <c r="I8" s="80" t="s">
        <v>14</v>
      </c>
    </row>
    <row r="9" spans="2:10">
      <c r="B9" s="82" t="s">
        <v>339</v>
      </c>
      <c r="C9" s="81" t="str">
        <f>DADOS_CONSULT!A27</f>
        <v>P8044</v>
      </c>
      <c r="D9" s="81" t="s">
        <v>237</v>
      </c>
      <c r="E9" s="72">
        <v>1</v>
      </c>
      <c r="F9" s="318">
        <v>7</v>
      </c>
      <c r="G9" s="72">
        <f>F9*E9</f>
        <v>7</v>
      </c>
      <c r="H9" s="91">
        <f>DADOS_CONSULT!D27/22</f>
        <v>723.59818181818184</v>
      </c>
      <c r="I9" s="96">
        <f>H9*G9</f>
        <v>5065.187272727273</v>
      </c>
    </row>
    <row r="10" spans="2:10" ht="25.5">
      <c r="B10" s="515" t="s">
        <v>340</v>
      </c>
      <c r="C10" s="418" t="str">
        <f>DADOS_CONSULT!A38</f>
        <v>P8058</v>
      </c>
      <c r="D10" s="418" t="s">
        <v>237</v>
      </c>
      <c r="E10" s="86">
        <v>1</v>
      </c>
      <c r="F10" s="86">
        <v>14</v>
      </c>
      <c r="G10" s="86">
        <f>F10*E10</f>
        <v>14</v>
      </c>
      <c r="H10" s="64">
        <f>DADOS_CONSULT!D38/22</f>
        <v>436.06318181818182</v>
      </c>
      <c r="I10" s="142">
        <f>H10*G10</f>
        <v>6104.8845454545453</v>
      </c>
    </row>
    <row r="11" spans="2:10" ht="25.5">
      <c r="B11" s="515" t="s">
        <v>389</v>
      </c>
      <c r="C11" s="418" t="str">
        <f>DADOS_CONSULT!A78</f>
        <v>P8143</v>
      </c>
      <c r="D11" s="418" t="s">
        <v>237</v>
      </c>
      <c r="E11" s="86">
        <v>1</v>
      </c>
      <c r="F11" s="86">
        <v>14</v>
      </c>
      <c r="G11" s="86">
        <f>F11*E11</f>
        <v>14</v>
      </c>
      <c r="H11" s="64">
        <f>DADOS_CONSULT!D78/22</f>
        <v>104.15272727272728</v>
      </c>
      <c r="I11" s="142">
        <f>H11*G11</f>
        <v>1458.1381818181819</v>
      </c>
    </row>
    <row r="12" spans="2:10">
      <c r="B12" s="516" t="s">
        <v>238</v>
      </c>
      <c r="C12" s="418" t="str">
        <f>DADOS_CONSULT!A66</f>
        <v>P8113</v>
      </c>
      <c r="D12" s="418" t="s">
        <v>237</v>
      </c>
      <c r="E12" s="86">
        <v>1</v>
      </c>
      <c r="F12" s="86">
        <v>14</v>
      </c>
      <c r="G12" s="86">
        <f>F12*E12</f>
        <v>14</v>
      </c>
      <c r="H12" s="64">
        <f>DADOS_CONSULT!D66/22</f>
        <v>76.184545454545457</v>
      </c>
      <c r="I12" s="142">
        <f>H12*G12</f>
        <v>1066.5836363636363</v>
      </c>
    </row>
    <row r="13" spans="2:10">
      <c r="B13" s="515" t="s">
        <v>334</v>
      </c>
      <c r="C13" s="418" t="str">
        <f>DADOS_CONSULT!A76</f>
        <v>P8135</v>
      </c>
      <c r="D13" s="418" t="s">
        <v>237</v>
      </c>
      <c r="E13" s="86">
        <v>1</v>
      </c>
      <c r="F13" s="86">
        <v>14</v>
      </c>
      <c r="G13" s="86">
        <f>F13*E13</f>
        <v>14</v>
      </c>
      <c r="H13" s="64">
        <f>DADOS_CONSULT!D76/22</f>
        <v>89.472727272727283</v>
      </c>
      <c r="I13" s="142">
        <f>H13*G13</f>
        <v>1252.6181818181819</v>
      </c>
    </row>
    <row r="14" spans="2:10">
      <c r="B14" s="627" t="s">
        <v>644</v>
      </c>
      <c r="C14" s="81"/>
      <c r="D14" s="81"/>
      <c r="E14" s="72"/>
      <c r="F14" s="72"/>
      <c r="G14" s="72"/>
      <c r="H14" s="91"/>
      <c r="I14" s="95">
        <f>SUM(I9:I13)</f>
        <v>14947.411818181818</v>
      </c>
      <c r="J14" s="685">
        <v>14</v>
      </c>
    </row>
    <row r="15" spans="2:10">
      <c r="B15" s="952"/>
      <c r="C15" s="862"/>
      <c r="D15" s="862"/>
      <c r="E15" s="862"/>
      <c r="F15" s="862"/>
      <c r="G15" s="862"/>
      <c r="H15" s="862"/>
      <c r="I15" s="791"/>
      <c r="J15" s="685"/>
    </row>
    <row r="16" spans="2:10">
      <c r="B16" s="640" t="s">
        <v>651</v>
      </c>
      <c r="C16" s="583"/>
      <c r="D16" s="575"/>
      <c r="E16" s="575"/>
      <c r="F16" s="575"/>
      <c r="G16" s="654" t="s">
        <v>637</v>
      </c>
      <c r="H16" s="655" t="s">
        <v>636</v>
      </c>
      <c r="I16" s="585"/>
      <c r="J16" s="685"/>
    </row>
    <row r="17" spans="2:10">
      <c r="B17" s="82" t="s">
        <v>339</v>
      </c>
      <c r="C17" s="583"/>
      <c r="D17" s="575"/>
      <c r="E17" s="575"/>
      <c r="F17" s="575"/>
      <c r="G17" s="83">
        <f>DADOS_CONSULT!W27/100</f>
        <v>0.84819999999999995</v>
      </c>
      <c r="H17" s="644">
        <v>1</v>
      </c>
      <c r="I17" s="647">
        <f>G17*H17*I9</f>
        <v>4296.2918447272723</v>
      </c>
      <c r="J17" s="685"/>
    </row>
    <row r="18" spans="2:10" ht="25.5">
      <c r="B18" s="515" t="s">
        <v>340</v>
      </c>
      <c r="C18" s="583"/>
      <c r="D18" s="575"/>
      <c r="E18" s="575"/>
      <c r="F18" s="575"/>
      <c r="G18" s="83">
        <f>DADOS_CONSULT!W38/100</f>
        <v>0.88090000000000002</v>
      </c>
      <c r="H18" s="644">
        <v>1</v>
      </c>
      <c r="I18" s="647">
        <f>G18*H18*I10</f>
        <v>5377.7927960909092</v>
      </c>
      <c r="J18" s="685"/>
    </row>
    <row r="19" spans="2:10" ht="25.5">
      <c r="B19" s="515" t="s">
        <v>389</v>
      </c>
      <c r="C19" s="76"/>
      <c r="D19" s="590"/>
      <c r="E19" s="590"/>
      <c r="F19" s="590"/>
      <c r="G19" s="83">
        <f>DADOS_CONSULT!W78/100</f>
        <v>1.1345000000000001</v>
      </c>
      <c r="H19" s="644">
        <v>1</v>
      </c>
      <c r="I19" s="647">
        <f>G19*H19*I11</f>
        <v>1654.2577672727275</v>
      </c>
      <c r="J19" s="685"/>
    </row>
    <row r="20" spans="2:10">
      <c r="B20" s="516" t="s">
        <v>238</v>
      </c>
      <c r="C20" s="76"/>
      <c r="D20" s="590"/>
      <c r="E20" s="590"/>
      <c r="F20" s="590"/>
      <c r="G20" s="83">
        <f>DADOS_CONSULT!W66/100</f>
        <v>1.298</v>
      </c>
      <c r="H20" s="644">
        <v>1</v>
      </c>
      <c r="I20" s="647">
        <f>G20*H20*I12</f>
        <v>1384.4255599999999</v>
      </c>
      <c r="J20" s="685"/>
    </row>
    <row r="21" spans="2:10">
      <c r="B21" s="515" t="s">
        <v>334</v>
      </c>
      <c r="C21" s="76"/>
      <c r="D21" s="590"/>
      <c r="E21" s="590"/>
      <c r="F21" s="590"/>
      <c r="G21" s="83">
        <f>DADOS_CONSULT!W76/100</f>
        <v>1.1967000000000001</v>
      </c>
      <c r="H21" s="644">
        <v>1</v>
      </c>
      <c r="I21" s="647">
        <f>G21*H21*I13</f>
        <v>1499.0081781818185</v>
      </c>
      <c r="J21" s="685"/>
    </row>
    <row r="22" spans="2:10">
      <c r="B22" s="627" t="s">
        <v>645</v>
      </c>
      <c r="C22" s="76"/>
      <c r="D22" s="590"/>
      <c r="E22" s="590"/>
      <c r="F22" s="590"/>
      <c r="G22" s="83"/>
      <c r="H22" s="644"/>
      <c r="I22" s="646">
        <f>SUM(I17:I21)</f>
        <v>14211.776146272729</v>
      </c>
      <c r="J22" s="685">
        <v>22</v>
      </c>
    </row>
    <row r="23" spans="2:10">
      <c r="B23" s="952"/>
      <c r="C23" s="953"/>
      <c r="D23" s="953"/>
      <c r="E23" s="953"/>
      <c r="F23" s="953"/>
      <c r="G23" s="953"/>
      <c r="H23" s="953"/>
      <c r="I23" s="954"/>
    </row>
    <row r="24" spans="2:10">
      <c r="B24" s="952"/>
      <c r="C24" s="953"/>
      <c r="D24" s="953"/>
      <c r="E24" s="953"/>
      <c r="F24" s="953"/>
      <c r="G24" s="953"/>
      <c r="H24" s="953"/>
      <c r="I24" s="954"/>
    </row>
    <row r="25" spans="2:10">
      <c r="B25" s="105" t="s">
        <v>671</v>
      </c>
      <c r="C25" s="76"/>
      <c r="D25" s="589"/>
      <c r="E25" s="589" t="s">
        <v>48</v>
      </c>
      <c r="F25" s="589" t="s">
        <v>60</v>
      </c>
      <c r="G25" s="589" t="s">
        <v>638</v>
      </c>
      <c r="H25" s="589" t="s">
        <v>54</v>
      </c>
      <c r="I25" s="591" t="s">
        <v>14</v>
      </c>
    </row>
    <row r="26" spans="2:10">
      <c r="B26" s="65" t="str">
        <f>DADOS!H10</f>
        <v>CAMINHONETE - 140 A 165 CV</v>
      </c>
      <c r="C26" s="76"/>
      <c r="D26" s="590"/>
      <c r="E26" s="590">
        <v>1</v>
      </c>
      <c r="F26" s="590">
        <v>14</v>
      </c>
      <c r="G26" s="92">
        <f>F26*8</f>
        <v>112</v>
      </c>
      <c r="H26" s="644">
        <f>DADOS_CONSULT!AF13</f>
        <v>46.14</v>
      </c>
      <c r="I26" s="646">
        <f>H26*G26</f>
        <v>5167.68</v>
      </c>
    </row>
    <row r="27" spans="2:10">
      <c r="B27" s="510" t="str">
        <f>DADOS!H17</f>
        <v>GPS</v>
      </c>
      <c r="C27" s="621"/>
      <c r="D27" s="570"/>
      <c r="E27" s="633">
        <v>1</v>
      </c>
      <c r="F27" s="633">
        <v>14</v>
      </c>
      <c r="G27" s="92">
        <f>F27*8</f>
        <v>112</v>
      </c>
      <c r="H27" s="644">
        <f>DADOS!K17/24</f>
        <v>0.45394286293555569</v>
      </c>
      <c r="I27" s="646">
        <f>H27*G27</f>
        <v>50.84160064878224</v>
      </c>
    </row>
    <row r="28" spans="2:10">
      <c r="B28" s="627" t="s">
        <v>646</v>
      </c>
      <c r="C28" s="76"/>
      <c r="D28" s="590"/>
      <c r="E28" s="590"/>
      <c r="F28" s="590"/>
      <c r="G28" s="92"/>
      <c r="H28" s="644"/>
      <c r="I28" s="646">
        <f>SUM(I26:I27)</f>
        <v>5218.5216006487826</v>
      </c>
      <c r="J28" s="685">
        <v>28</v>
      </c>
    </row>
    <row r="29" spans="2:10">
      <c r="B29" s="627"/>
      <c r="C29" s="76"/>
      <c r="D29" s="590"/>
      <c r="E29" s="590"/>
      <c r="F29" s="590"/>
      <c r="G29" s="92"/>
      <c r="H29" s="644"/>
      <c r="I29" s="646"/>
    </row>
    <row r="30" spans="2:10">
      <c r="B30" s="627"/>
      <c r="C30" s="76"/>
      <c r="D30" s="590"/>
      <c r="E30" s="590"/>
      <c r="F30" s="590"/>
      <c r="G30" s="92"/>
      <c r="H30" s="644"/>
      <c r="I30" s="646"/>
    </row>
    <row r="31" spans="2:10">
      <c r="B31" s="955" t="s">
        <v>653</v>
      </c>
      <c r="C31" s="956"/>
      <c r="D31" s="956"/>
      <c r="E31" s="956"/>
      <c r="F31" s="956"/>
      <c r="G31" s="956"/>
      <c r="H31" s="956"/>
      <c r="I31" s="957"/>
    </row>
    <row r="32" spans="2:10" ht="37.5" customHeight="1">
      <c r="B32" s="622" t="s">
        <v>161</v>
      </c>
      <c r="C32" s="596"/>
      <c r="D32" s="596" t="s">
        <v>162</v>
      </c>
      <c r="E32" s="596" t="s">
        <v>163</v>
      </c>
      <c r="F32" s="596" t="s">
        <v>164</v>
      </c>
      <c r="G32" s="69" t="s">
        <v>49</v>
      </c>
      <c r="H32" s="69" t="s">
        <v>54</v>
      </c>
      <c r="I32" s="616" t="s">
        <v>14</v>
      </c>
    </row>
    <row r="33" spans="2:11" s="70" customFormat="1">
      <c r="B33" s="71" t="s">
        <v>281</v>
      </c>
      <c r="C33" s="90"/>
      <c r="D33" s="595">
        <v>17</v>
      </c>
      <c r="E33" s="595">
        <v>3</v>
      </c>
      <c r="F33" s="595">
        <v>9</v>
      </c>
      <c r="G33" s="74">
        <f>F33*E33</f>
        <v>27</v>
      </c>
      <c r="H33" s="641">
        <f>'CUSTO MÉDIO ÁGUA'!E24</f>
        <v>713.5149463232226</v>
      </c>
      <c r="I33" s="636">
        <f>H33*G33</f>
        <v>19264.903550727009</v>
      </c>
      <c r="J33" s="686"/>
    </row>
    <row r="34" spans="2:11" s="70" customFormat="1">
      <c r="B34" s="71" t="s">
        <v>165</v>
      </c>
      <c r="C34" s="75"/>
      <c r="D34" s="595"/>
      <c r="E34" s="595">
        <v>3</v>
      </c>
      <c r="F34" s="595">
        <v>9</v>
      </c>
      <c r="G34" s="595">
        <f>F34*E34</f>
        <v>27</v>
      </c>
      <c r="H34" s="641">
        <v>200</v>
      </c>
      <c r="I34" s="636">
        <f>H34*G34</f>
        <v>5400</v>
      </c>
      <c r="J34" s="686"/>
    </row>
    <row r="35" spans="2:11" s="70" customFormat="1">
      <c r="B35" s="627" t="s">
        <v>675</v>
      </c>
      <c r="C35" s="586"/>
      <c r="D35" s="587"/>
      <c r="E35" s="587"/>
      <c r="F35" s="587"/>
      <c r="G35" s="587"/>
      <c r="H35" s="629"/>
      <c r="I35" s="631">
        <f>SUM(I33:I34)</f>
        <v>24664.903550727009</v>
      </c>
      <c r="J35" s="686">
        <v>35</v>
      </c>
    </row>
    <row r="36" spans="2:11" ht="12" customHeight="1">
      <c r="B36" s="949"/>
      <c r="C36" s="950"/>
      <c r="D36" s="950"/>
      <c r="E36" s="950"/>
      <c r="F36" s="950"/>
      <c r="G36" s="950"/>
      <c r="H36" s="950"/>
      <c r="I36" s="951"/>
    </row>
    <row r="37" spans="2:11" ht="13.5" customHeight="1">
      <c r="B37" s="913" t="s">
        <v>86</v>
      </c>
      <c r="C37" s="914"/>
      <c r="D37" s="914"/>
      <c r="E37" s="914"/>
      <c r="F37" s="914"/>
      <c r="G37" s="914"/>
      <c r="H37" s="914"/>
      <c r="I37" s="634">
        <f>SUM(I14+I22+I28+I35)</f>
        <v>59042.61311583034</v>
      </c>
      <c r="J37" s="685">
        <v>37</v>
      </c>
    </row>
    <row r="38" spans="2:11">
      <c r="B38" s="915"/>
      <c r="C38" s="916"/>
      <c r="D38" s="916"/>
      <c r="E38" s="916"/>
      <c r="F38" s="916"/>
      <c r="G38" s="916"/>
      <c r="H38" s="916"/>
      <c r="I38" s="917"/>
    </row>
    <row r="39" spans="2:11">
      <c r="B39" s="900" t="s">
        <v>38</v>
      </c>
      <c r="C39" s="901"/>
      <c r="D39" s="902"/>
      <c r="E39" s="575"/>
      <c r="F39" s="575"/>
      <c r="G39" s="579"/>
      <c r="H39" s="580"/>
      <c r="I39" s="581"/>
    </row>
    <row r="40" spans="2:11">
      <c r="B40" s="649" t="s">
        <v>649</v>
      </c>
      <c r="C40" s="653"/>
      <c r="D40" s="658"/>
      <c r="E40" s="653"/>
      <c r="F40" s="653"/>
      <c r="G40" s="650"/>
      <c r="H40" s="653"/>
      <c r="I40" s="581"/>
    </row>
    <row r="41" spans="2:11">
      <c r="B41" s="656" t="s">
        <v>639</v>
      </c>
      <c r="C41" s="653"/>
      <c r="D41" s="658"/>
      <c r="E41" s="653"/>
      <c r="F41" s="653"/>
      <c r="G41" s="651">
        <v>0.1</v>
      </c>
      <c r="H41" s="653"/>
      <c r="I41" s="606">
        <f>G41*$I$37</f>
        <v>5904.2613115830345</v>
      </c>
    </row>
    <row r="42" spans="2:11">
      <c r="B42" s="656" t="s">
        <v>640</v>
      </c>
      <c r="C42" s="653"/>
      <c r="D42" s="658"/>
      <c r="E42" s="653"/>
      <c r="F42" s="653"/>
      <c r="G42" s="651">
        <v>2.5000000000000001E-3</v>
      </c>
      <c r="H42" s="653"/>
      <c r="I42" s="606">
        <f t="shared" ref="I42:I44" si="0">G42*$I$37</f>
        <v>147.60653278957585</v>
      </c>
    </row>
    <row r="43" spans="2:11">
      <c r="B43" s="656" t="s">
        <v>641</v>
      </c>
      <c r="C43" s="653"/>
      <c r="D43" s="658"/>
      <c r="E43" s="653"/>
      <c r="F43" s="653"/>
      <c r="G43" s="651">
        <v>7.1999999999999998E-3</v>
      </c>
      <c r="H43" s="653"/>
      <c r="I43" s="606">
        <f t="shared" si="0"/>
        <v>425.10681443397846</v>
      </c>
    </row>
    <row r="44" spans="2:11">
      <c r="B44" s="656" t="s">
        <v>642</v>
      </c>
      <c r="C44" s="653"/>
      <c r="D44" s="658"/>
      <c r="E44" s="653"/>
      <c r="F44" s="653"/>
      <c r="G44" s="651">
        <v>1.4E-3</v>
      </c>
      <c r="H44" s="653"/>
      <c r="I44" s="606">
        <f t="shared" si="0"/>
        <v>82.659658362162475</v>
      </c>
    </row>
    <row r="45" spans="2:11">
      <c r="B45" s="603" t="s">
        <v>648</v>
      </c>
      <c r="C45" s="653"/>
      <c r="D45" s="658"/>
      <c r="E45" s="653"/>
      <c r="F45" s="653"/>
      <c r="G45" s="651">
        <v>0.1111</v>
      </c>
      <c r="H45" s="653"/>
      <c r="I45" s="157">
        <f>SUM(I41:I44)</f>
        <v>6559.6343171687513</v>
      </c>
      <c r="J45" s="686">
        <v>45</v>
      </c>
      <c r="K45" s="686"/>
    </row>
    <row r="46" spans="2:11">
      <c r="B46" s="649"/>
      <c r="C46" s="653"/>
      <c r="D46" s="658"/>
      <c r="E46" s="653"/>
      <c r="F46" s="653"/>
      <c r="G46" s="653"/>
      <c r="H46" s="653"/>
      <c r="I46" s="581"/>
      <c r="J46" s="686"/>
      <c r="K46" s="686"/>
    </row>
    <row r="47" spans="2:11">
      <c r="B47" s="649" t="s">
        <v>654</v>
      </c>
      <c r="C47" s="653"/>
      <c r="D47" s="658"/>
      <c r="E47" s="653"/>
      <c r="F47" s="653"/>
      <c r="G47" s="653"/>
      <c r="H47" s="653"/>
      <c r="I47" s="581"/>
      <c r="J47" s="686"/>
      <c r="K47" s="686"/>
    </row>
    <row r="48" spans="2:11">
      <c r="B48" s="649" t="s">
        <v>673</v>
      </c>
      <c r="C48" s="653"/>
      <c r="D48" s="658"/>
      <c r="E48" s="653"/>
      <c r="F48" s="653"/>
      <c r="G48" s="651">
        <v>0.12</v>
      </c>
      <c r="H48" s="653"/>
      <c r="I48" s="604">
        <f>G48*$I$37</f>
        <v>7085.1135738996409</v>
      </c>
      <c r="J48" s="686">
        <v>48</v>
      </c>
      <c r="K48" s="686"/>
    </row>
    <row r="49" spans="2:13">
      <c r="B49" s="649"/>
      <c r="C49" s="653"/>
      <c r="D49" s="658"/>
      <c r="E49" s="653"/>
      <c r="F49" s="653"/>
      <c r="G49" s="653"/>
      <c r="H49" s="653"/>
      <c r="I49" s="581"/>
      <c r="J49" s="686"/>
      <c r="K49" s="686"/>
    </row>
    <row r="50" spans="2:13">
      <c r="B50" s="649" t="s">
        <v>655</v>
      </c>
      <c r="C50" s="653"/>
      <c r="D50" s="658"/>
      <c r="E50" s="653"/>
      <c r="F50" s="653"/>
      <c r="G50" s="651"/>
      <c r="H50" s="653"/>
      <c r="I50" s="581"/>
      <c r="J50" s="686"/>
      <c r="K50" s="686"/>
    </row>
    <row r="51" spans="2:13">
      <c r="B51" s="656" t="s">
        <v>656</v>
      </c>
      <c r="C51" s="653"/>
      <c r="D51" s="658"/>
      <c r="E51" s="653"/>
      <c r="F51" s="653"/>
      <c r="G51" s="651">
        <v>2.3699999999999999E-2</v>
      </c>
      <c r="H51" s="653"/>
      <c r="I51" s="606">
        <f>G51*$I$37</f>
        <v>1399.309930845179</v>
      </c>
      <c r="J51" s="686"/>
      <c r="K51" s="686"/>
    </row>
    <row r="52" spans="2:13">
      <c r="B52" s="656" t="s">
        <v>657</v>
      </c>
      <c r="C52" s="653"/>
      <c r="D52" s="658"/>
      <c r="E52" s="653"/>
      <c r="F52" s="653"/>
      <c r="G52" s="651">
        <v>0.1091</v>
      </c>
      <c r="H52" s="653"/>
      <c r="I52" s="606">
        <f t="shared" ref="I52:I53" si="1">G52*$I$37</f>
        <v>6441.5490909370901</v>
      </c>
      <c r="J52" s="686"/>
      <c r="K52" s="686"/>
    </row>
    <row r="53" spans="2:13">
      <c r="B53" s="656" t="s">
        <v>658</v>
      </c>
      <c r="C53" s="653"/>
      <c r="D53" s="658"/>
      <c r="E53" s="653"/>
      <c r="F53" s="653"/>
      <c r="G53" s="651">
        <v>7.1800000000000003E-2</v>
      </c>
      <c r="H53" s="653"/>
      <c r="I53" s="606">
        <f t="shared" si="1"/>
        <v>4239.2596217166183</v>
      </c>
      <c r="J53" s="686"/>
      <c r="K53" s="686"/>
    </row>
    <row r="54" spans="2:13">
      <c r="B54" s="649"/>
      <c r="C54" s="653"/>
      <c r="D54" s="658"/>
      <c r="E54" s="653"/>
      <c r="F54" s="653"/>
      <c r="G54" s="650"/>
      <c r="H54" s="653"/>
      <c r="I54" s="157">
        <f>SUM(I51:I53)</f>
        <v>12080.118643498889</v>
      </c>
      <c r="J54" s="686">
        <v>54</v>
      </c>
      <c r="K54" s="686"/>
      <c r="M54" s="235"/>
    </row>
    <row r="55" spans="2:13" ht="13.5" customHeight="1">
      <c r="B55" s="925"/>
      <c r="C55" s="926"/>
      <c r="D55" s="926"/>
      <c r="E55" s="926"/>
      <c r="F55" s="926"/>
      <c r="G55" s="926"/>
      <c r="H55" s="926"/>
      <c r="I55" s="927"/>
      <c r="J55" s="686"/>
      <c r="K55" s="686"/>
    </row>
    <row r="56" spans="2:13" s="70" customFormat="1">
      <c r="B56" s="913" t="s">
        <v>202</v>
      </c>
      <c r="C56" s="914"/>
      <c r="D56" s="914"/>
      <c r="E56" s="914"/>
      <c r="F56" s="914"/>
      <c r="G56" s="914"/>
      <c r="H56" s="914"/>
      <c r="I56" s="233">
        <f>I45+I48+I54</f>
        <v>25724.866534567282</v>
      </c>
      <c r="J56" s="686">
        <v>56</v>
      </c>
    </row>
    <row r="57" spans="2:13" ht="16.5" customHeight="1">
      <c r="B57" s="918"/>
      <c r="C57" s="919"/>
      <c r="D57" s="919"/>
      <c r="E57" s="919"/>
      <c r="F57" s="919"/>
      <c r="G57" s="919"/>
      <c r="H57" s="919"/>
      <c r="I57" s="920"/>
      <c r="J57" s="70"/>
      <c r="K57" s="235"/>
      <c r="L57" s="422"/>
    </row>
    <row r="58" spans="2:13" ht="13.5" thickBot="1">
      <c r="B58" s="921" t="s">
        <v>203</v>
      </c>
      <c r="C58" s="922"/>
      <c r="D58" s="922"/>
      <c r="E58" s="922"/>
      <c r="F58" s="922"/>
      <c r="G58" s="922"/>
      <c r="H58" s="922"/>
      <c r="I58" s="85">
        <f>SUM(I37+I56)</f>
        <v>84767.479650397625</v>
      </c>
    </row>
    <row r="59" spans="2:13" ht="13.5" thickBot="1"/>
    <row r="60" spans="2:13" ht="12.75" customHeight="1">
      <c r="B60" s="934" t="s">
        <v>302</v>
      </c>
      <c r="C60" s="935"/>
      <c r="D60" s="935"/>
      <c r="E60" s="935"/>
      <c r="F60" s="935"/>
      <c r="G60" s="935"/>
      <c r="H60" s="935"/>
      <c r="I60" s="936"/>
    </row>
    <row r="61" spans="2:13" ht="8.25" customHeight="1">
      <c r="B61" s="937"/>
      <c r="C61" s="938"/>
      <c r="D61" s="938"/>
      <c r="E61" s="938"/>
      <c r="F61" s="938"/>
      <c r="G61" s="938"/>
      <c r="H61" s="938"/>
      <c r="I61" s="939"/>
    </row>
    <row r="62" spans="2:13" ht="17.25" customHeight="1">
      <c r="B62" s="940" t="s">
        <v>242</v>
      </c>
      <c r="C62" s="946"/>
      <c r="D62" s="946"/>
      <c r="E62" s="946"/>
      <c r="F62" s="946"/>
      <c r="G62" s="946"/>
      <c r="H62" s="946"/>
      <c r="I62" s="947"/>
    </row>
    <row r="63" spans="2:13">
      <c r="B63" s="940" t="s">
        <v>390</v>
      </c>
      <c r="C63" s="941"/>
      <c r="D63" s="941"/>
      <c r="E63" s="941"/>
      <c r="F63" s="941"/>
      <c r="G63" s="941"/>
      <c r="H63" s="941"/>
      <c r="I63" s="942"/>
    </row>
    <row r="64" spans="2:13">
      <c r="B64" s="940" t="s">
        <v>303</v>
      </c>
      <c r="C64" s="941"/>
      <c r="D64" s="941"/>
      <c r="E64" s="941"/>
      <c r="F64" s="941"/>
      <c r="G64" s="941"/>
      <c r="H64" s="941"/>
      <c r="I64" s="942"/>
    </row>
    <row r="65" spans="2:9">
      <c r="B65" s="943" t="s">
        <v>305</v>
      </c>
      <c r="C65" s="944"/>
      <c r="D65" s="944"/>
      <c r="E65" s="944"/>
      <c r="F65" s="944"/>
      <c r="G65" s="944"/>
      <c r="H65" s="944"/>
      <c r="I65" s="945"/>
    </row>
    <row r="66" spans="2:9">
      <c r="B66" s="948" t="s">
        <v>304</v>
      </c>
      <c r="C66" s="944"/>
      <c r="D66" s="944"/>
      <c r="E66" s="944"/>
      <c r="F66" s="944"/>
      <c r="G66" s="944"/>
      <c r="H66" s="944"/>
      <c r="I66" s="945"/>
    </row>
    <row r="67" spans="2:9" ht="13.5" thickBot="1">
      <c r="B67" s="931"/>
      <c r="C67" s="932"/>
      <c r="D67" s="932"/>
      <c r="E67" s="932"/>
      <c r="F67" s="932"/>
      <c r="G67" s="932"/>
      <c r="H67" s="932"/>
      <c r="I67" s="933"/>
    </row>
  </sheetData>
  <mergeCells count="29">
    <mergeCell ref="B57:I57"/>
    <mergeCell ref="B58:H58"/>
    <mergeCell ref="B1:I1"/>
    <mergeCell ref="B7:C7"/>
    <mergeCell ref="B2:I2"/>
    <mergeCell ref="B6:C6"/>
    <mergeCell ref="E6:G6"/>
    <mergeCell ref="H6:I6"/>
    <mergeCell ref="C4:I4"/>
    <mergeCell ref="C5:I5"/>
    <mergeCell ref="B38:I38"/>
    <mergeCell ref="B39:D39"/>
    <mergeCell ref="B37:H37"/>
    <mergeCell ref="B55:I55"/>
    <mergeCell ref="B56:H56"/>
    <mergeCell ref="B3:I3"/>
    <mergeCell ref="B36:I36"/>
    <mergeCell ref="B15:I15"/>
    <mergeCell ref="B23:I23"/>
    <mergeCell ref="B24:I24"/>
    <mergeCell ref="B31:I31"/>
    <mergeCell ref="B67:I67"/>
    <mergeCell ref="B60:I60"/>
    <mergeCell ref="B61:I61"/>
    <mergeCell ref="B63:I63"/>
    <mergeCell ref="B64:I64"/>
    <mergeCell ref="B65:I65"/>
    <mergeCell ref="B62:I62"/>
    <mergeCell ref="B66:I66"/>
  </mergeCells>
  <phoneticPr fontId="7" type="noConversion"/>
  <pageMargins left="0.78740157499999996" right="0.78740157499999996" top="0.984251969" bottom="0.984251969" header="0.49212598499999999" footer="0.49212598499999999"/>
  <pageSetup paperSize="9" scale="7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zoomScaleSheetLayoutView="100" workbookViewId="0">
      <selection activeCell="C43" sqref="C43"/>
    </sheetView>
  </sheetViews>
  <sheetFormatPr defaultRowHeight="12.75"/>
  <cols>
    <col min="1" max="1" width="48.140625" style="9" customWidth="1"/>
    <col min="2" max="2" width="26.85546875" style="9" customWidth="1"/>
    <col min="3" max="3" width="30.140625" style="9" customWidth="1"/>
    <col min="4" max="4" width="25.7109375" style="9" customWidth="1"/>
    <col min="5" max="5" width="22.5703125" style="9" customWidth="1"/>
    <col min="6" max="7" width="9.140625" style="9"/>
    <col min="8" max="8" width="11.28515625" style="9" customWidth="1"/>
    <col min="9" max="16384" width="9.140625" style="9"/>
  </cols>
  <sheetData>
    <row r="1" spans="1:8" ht="25.5" customHeight="1">
      <c r="A1" s="964" t="s">
        <v>293</v>
      </c>
      <c r="B1" s="964"/>
      <c r="C1" s="965"/>
      <c r="D1" s="965"/>
      <c r="E1" s="965"/>
    </row>
    <row r="2" spans="1:8">
      <c r="A2" s="966"/>
      <c r="B2" s="966"/>
      <c r="C2" s="966"/>
      <c r="D2" s="966"/>
      <c r="E2" s="966"/>
    </row>
    <row r="3" spans="1:8">
      <c r="A3" s="966" t="s">
        <v>118</v>
      </c>
      <c r="B3" s="966"/>
      <c r="C3" s="966"/>
      <c r="D3" s="966"/>
      <c r="E3" s="966"/>
    </row>
    <row r="4" spans="1:8" ht="38.25">
      <c r="A4" s="967" t="s">
        <v>119</v>
      </c>
      <c r="B4" s="382" t="s">
        <v>300</v>
      </c>
      <c r="C4" s="382" t="s">
        <v>296</v>
      </c>
      <c r="D4" s="382" t="s">
        <v>297</v>
      </c>
      <c r="E4" s="968" t="s">
        <v>294</v>
      </c>
      <c r="F4" s="356"/>
      <c r="H4" s="86" t="s">
        <v>397</v>
      </c>
    </row>
    <row r="5" spans="1:8">
      <c r="A5" s="967"/>
      <c r="B5" s="377" t="s">
        <v>267</v>
      </c>
      <c r="C5" s="386" t="s">
        <v>267</v>
      </c>
      <c r="D5" s="386" t="s">
        <v>267</v>
      </c>
      <c r="E5" s="969"/>
      <c r="F5" s="356"/>
      <c r="H5" s="530">
        <v>1.2588208999999999</v>
      </c>
    </row>
    <row r="6" spans="1:8">
      <c r="A6" s="378" t="s">
        <v>264</v>
      </c>
      <c r="B6" s="379">
        <f>25*$H$5</f>
        <v>31.470522499999998</v>
      </c>
      <c r="C6" s="406">
        <v>18.78</v>
      </c>
      <c r="D6" s="411">
        <v>30</v>
      </c>
      <c r="E6" s="408">
        <f>(B6+C6+D6)/3</f>
        <v>26.750174166666667</v>
      </c>
      <c r="F6" s="356"/>
      <c r="H6" s="409"/>
    </row>
    <row r="7" spans="1:8" ht="15.75" customHeight="1">
      <c r="A7" s="378" t="s">
        <v>265</v>
      </c>
      <c r="B7" s="379">
        <f>35*$H$5</f>
        <v>44.058731499999993</v>
      </c>
      <c r="C7" s="406">
        <v>81.709999999999994</v>
      </c>
      <c r="D7" s="411">
        <v>45</v>
      </c>
      <c r="E7" s="408">
        <f>(B7+C7+D7)/3</f>
        <v>56.9229105</v>
      </c>
      <c r="F7" s="356"/>
      <c r="H7" s="409"/>
    </row>
    <row r="8" spans="1:8">
      <c r="A8" s="378" t="s">
        <v>266</v>
      </c>
      <c r="B8" s="379">
        <f>35*$H$5</f>
        <v>44.058731499999993</v>
      </c>
      <c r="C8" s="407">
        <v>81.709999999999994</v>
      </c>
      <c r="D8" s="412">
        <v>45</v>
      </c>
      <c r="E8" s="408">
        <f t="shared" ref="E8:E23" si="0">(B8+C8+D8)/3</f>
        <v>56.9229105</v>
      </c>
      <c r="F8" s="356"/>
      <c r="H8" s="410"/>
    </row>
    <row r="9" spans="1:8">
      <c r="A9" s="378" t="s">
        <v>278</v>
      </c>
      <c r="B9" s="379">
        <f>20*$H$5</f>
        <v>25.176417999999998</v>
      </c>
      <c r="C9" s="407">
        <v>19.48</v>
      </c>
      <c r="D9" s="412">
        <v>15</v>
      </c>
      <c r="E9" s="408">
        <f>(B9+C9+D9)/3</f>
        <v>19.885472666666669</v>
      </c>
      <c r="F9" s="356"/>
      <c r="H9" s="410"/>
    </row>
    <row r="10" spans="1:8">
      <c r="A10" s="378" t="s">
        <v>268</v>
      </c>
      <c r="B10" s="379">
        <f>20*$H$5</f>
        <v>25.176417999999998</v>
      </c>
      <c r="C10" s="407">
        <v>14.33</v>
      </c>
      <c r="D10" s="412">
        <v>10</v>
      </c>
      <c r="E10" s="408">
        <f t="shared" si="0"/>
        <v>16.502139333333332</v>
      </c>
      <c r="F10" s="356"/>
      <c r="H10" s="410"/>
    </row>
    <row r="11" spans="1:8" ht="14.25" customHeight="1">
      <c r="A11" s="378" t="s">
        <v>270</v>
      </c>
      <c r="B11" s="379">
        <f>40*$H$5</f>
        <v>50.352835999999996</v>
      </c>
      <c r="C11" s="407">
        <v>65.11</v>
      </c>
      <c r="D11" s="412">
        <v>60</v>
      </c>
      <c r="E11" s="408">
        <f t="shared" si="0"/>
        <v>58.487611999999991</v>
      </c>
      <c r="F11" s="356"/>
      <c r="H11" s="410"/>
    </row>
    <row r="12" spans="1:8">
      <c r="A12" s="378" t="s">
        <v>271</v>
      </c>
      <c r="B12" s="379">
        <f>40*$H$5</f>
        <v>50.352835999999996</v>
      </c>
      <c r="C12" s="407">
        <v>54.1</v>
      </c>
      <c r="D12" s="412">
        <v>50</v>
      </c>
      <c r="E12" s="408">
        <f>(B12+C12+D12)/3</f>
        <v>51.484278666666661</v>
      </c>
      <c r="F12" s="356"/>
      <c r="H12" s="410"/>
    </row>
    <row r="13" spans="1:8">
      <c r="A13" s="378" t="s">
        <v>269</v>
      </c>
      <c r="B13" s="379">
        <f>28*$H$5</f>
        <v>35.246985199999997</v>
      </c>
      <c r="C13" s="407">
        <v>48.01</v>
      </c>
      <c r="D13" s="412">
        <v>30</v>
      </c>
      <c r="E13" s="408">
        <f>(B13+C13+D13)/3</f>
        <v>37.752328400000003</v>
      </c>
      <c r="F13" s="356"/>
      <c r="H13" s="410"/>
    </row>
    <row r="14" spans="1:8">
      <c r="A14" s="378" t="s">
        <v>292</v>
      </c>
      <c r="B14" s="379">
        <f>28*$H$5</f>
        <v>35.246985199999997</v>
      </c>
      <c r="C14" s="407">
        <v>17.73</v>
      </c>
      <c r="D14" s="412">
        <v>30</v>
      </c>
      <c r="E14" s="408">
        <f t="shared" si="0"/>
        <v>27.658995066666666</v>
      </c>
      <c r="F14" s="356"/>
      <c r="H14" s="410"/>
    </row>
    <row r="15" spans="1:8">
      <c r="A15" s="378" t="s">
        <v>272</v>
      </c>
      <c r="B15" s="379">
        <f>29.5*$H$5</f>
        <v>37.135216549999996</v>
      </c>
      <c r="C15" s="406">
        <v>23.72</v>
      </c>
      <c r="D15" s="411">
        <v>30</v>
      </c>
      <c r="E15" s="408">
        <f t="shared" si="0"/>
        <v>30.28507218333333</v>
      </c>
      <c r="F15" s="356"/>
      <c r="H15" s="409"/>
    </row>
    <row r="16" spans="1:8">
      <c r="A16" s="378" t="s">
        <v>280</v>
      </c>
      <c r="B16" s="379">
        <f>29.5*$H$5</f>
        <v>37.135216549999996</v>
      </c>
      <c r="C16" s="407">
        <v>23.72</v>
      </c>
      <c r="D16" s="412">
        <v>30</v>
      </c>
      <c r="E16" s="408">
        <f>(B16+C16+D16)/3</f>
        <v>30.28507218333333</v>
      </c>
      <c r="F16" s="356"/>
      <c r="H16" s="410"/>
    </row>
    <row r="17" spans="1:8">
      <c r="A17" s="378" t="s">
        <v>273</v>
      </c>
      <c r="B17" s="379">
        <f>32*$H$5</f>
        <v>40.282268799999997</v>
      </c>
      <c r="C17" s="407">
        <v>26.69</v>
      </c>
      <c r="D17" s="412">
        <v>25</v>
      </c>
      <c r="E17" s="408">
        <f t="shared" si="0"/>
        <v>30.657422933333333</v>
      </c>
      <c r="F17" s="356"/>
      <c r="H17" s="410"/>
    </row>
    <row r="18" spans="1:8">
      <c r="A18" s="378" t="s">
        <v>274</v>
      </c>
      <c r="B18" s="379">
        <f>42.5*$H$5</f>
        <v>53.499888249999998</v>
      </c>
      <c r="C18" s="407">
        <v>53.88</v>
      </c>
      <c r="D18" s="412">
        <v>45</v>
      </c>
      <c r="E18" s="408">
        <f t="shared" si="0"/>
        <v>50.793296083333331</v>
      </c>
      <c r="F18" s="356"/>
      <c r="H18" s="410"/>
    </row>
    <row r="19" spans="1:8">
      <c r="A19" s="378" t="s">
        <v>282</v>
      </c>
      <c r="B19" s="379">
        <f>18*$H$5</f>
        <v>22.658776199999998</v>
      </c>
      <c r="C19" s="407">
        <v>9.7899999999999991</v>
      </c>
      <c r="D19" s="412">
        <v>10</v>
      </c>
      <c r="E19" s="408">
        <f>(B19+C19+D19)/3</f>
        <v>14.149592066666665</v>
      </c>
      <c r="F19" s="356"/>
      <c r="H19" s="410"/>
    </row>
    <row r="20" spans="1:8">
      <c r="A20" s="378" t="s">
        <v>275</v>
      </c>
      <c r="B20" s="379">
        <f>18*$H$5</f>
        <v>22.658776199999998</v>
      </c>
      <c r="C20" s="406">
        <v>19.89</v>
      </c>
      <c r="D20" s="411">
        <v>10</v>
      </c>
      <c r="E20" s="408">
        <f t="shared" si="0"/>
        <v>17.516258733333334</v>
      </c>
      <c r="F20" s="356"/>
      <c r="H20" s="409"/>
    </row>
    <row r="21" spans="1:8">
      <c r="A21" s="378" t="s">
        <v>276</v>
      </c>
      <c r="B21" s="379">
        <f>18*$H$5</f>
        <v>22.658776199999998</v>
      </c>
      <c r="C21" s="406">
        <v>19.89</v>
      </c>
      <c r="D21" s="411">
        <v>15</v>
      </c>
      <c r="E21" s="408">
        <f t="shared" si="0"/>
        <v>19.182925399999998</v>
      </c>
      <c r="F21" s="356"/>
      <c r="H21" s="409"/>
    </row>
    <row r="22" spans="1:8">
      <c r="A22" s="378" t="s">
        <v>279</v>
      </c>
      <c r="B22" s="379">
        <f>10*$H$5</f>
        <v>12.588208999999999</v>
      </c>
      <c r="C22" s="407">
        <v>0</v>
      </c>
      <c r="D22" s="412">
        <v>0</v>
      </c>
      <c r="E22" s="408">
        <f>(B22+C22+D22)/3</f>
        <v>4.1960696666666664</v>
      </c>
      <c r="F22" s="356"/>
      <c r="H22" s="410"/>
    </row>
    <row r="23" spans="1:8">
      <c r="A23" s="378" t="s">
        <v>277</v>
      </c>
      <c r="B23" s="379">
        <f>18*$H$5</f>
        <v>22.658776199999998</v>
      </c>
      <c r="C23" s="407">
        <v>19.48</v>
      </c>
      <c r="D23" s="412">
        <v>10</v>
      </c>
      <c r="E23" s="408">
        <f t="shared" si="0"/>
        <v>17.379592066666664</v>
      </c>
      <c r="F23" s="356"/>
      <c r="H23" s="410"/>
    </row>
    <row r="24" spans="1:8">
      <c r="A24" s="100" t="s">
        <v>120</v>
      </c>
      <c r="B24" s="383">
        <f>SUM(B6:B23)</f>
        <v>612.41636785000003</v>
      </c>
      <c r="C24" s="405">
        <f>SUM(C6:C23)*H5</f>
        <v>752.80007461800005</v>
      </c>
      <c r="D24" s="405">
        <f>SUM(D6:D23)*H5</f>
        <v>616.82224099999996</v>
      </c>
      <c r="E24" s="405">
        <f>SUM(E6:E23)*H5</f>
        <v>713.5149463232226</v>
      </c>
      <c r="F24" s="416"/>
      <c r="H24" s="279"/>
    </row>
    <row r="25" spans="1:8">
      <c r="B25" s="9">
        <f>B24*12</f>
        <v>7348.9964142000008</v>
      </c>
      <c r="C25" s="380">
        <f>C24*12</f>
        <v>9033.6008954160006</v>
      </c>
      <c r="D25" s="380">
        <f>D24*12</f>
        <v>7401.866892</v>
      </c>
      <c r="E25" s="381"/>
      <c r="F25" s="114"/>
    </row>
    <row r="26" spans="1:8">
      <c r="A26" s="384" t="s">
        <v>295</v>
      </c>
      <c r="B26" s="278"/>
      <c r="C26" s="279"/>
      <c r="D26" s="279"/>
      <c r="E26" s="279"/>
    </row>
    <row r="27" spans="1:8">
      <c r="A27" s="413"/>
    </row>
    <row r="37" spans="1:2">
      <c r="A37" s="148"/>
      <c r="B37" s="148"/>
    </row>
    <row r="38" spans="1:2">
      <c r="A38" s="148"/>
      <c r="B38" s="148"/>
    </row>
    <row r="39" spans="1:2">
      <c r="A39" s="148"/>
      <c r="B39" s="148"/>
    </row>
    <row r="40" spans="1:2">
      <c r="A40" s="148"/>
      <c r="B40" s="148"/>
    </row>
    <row r="41" spans="1:2">
      <c r="A41" s="148"/>
      <c r="B41" s="148"/>
    </row>
    <row r="42" spans="1:2">
      <c r="A42" s="149"/>
      <c r="B42" s="149"/>
    </row>
    <row r="43" spans="1:2">
      <c r="A43" s="148"/>
      <c r="B43" s="148"/>
    </row>
    <row r="44" spans="1:2">
      <c r="A44" s="148"/>
      <c r="B44" s="148"/>
    </row>
    <row r="45" spans="1:2">
      <c r="A45" s="148"/>
      <c r="B45" s="148"/>
    </row>
    <row r="46" spans="1:2">
      <c r="A46" s="148"/>
      <c r="B46" s="148"/>
    </row>
    <row r="47" spans="1:2">
      <c r="A47" s="148"/>
      <c r="B47" s="148"/>
    </row>
    <row r="48" spans="1:2">
      <c r="A48" s="148"/>
      <c r="B48" s="148"/>
    </row>
    <row r="49" spans="1:2">
      <c r="A49" s="148"/>
      <c r="B49" s="148"/>
    </row>
    <row r="50" spans="1:2">
      <c r="A50" s="148"/>
      <c r="B50" s="148"/>
    </row>
    <row r="51" spans="1:2">
      <c r="A51" s="148"/>
      <c r="B51" s="148"/>
    </row>
    <row r="52" spans="1:2">
      <c r="A52" s="148"/>
      <c r="B52" s="148"/>
    </row>
    <row r="53" spans="1:2">
      <c r="A53" s="148"/>
      <c r="B53" s="148"/>
    </row>
  </sheetData>
  <mergeCells count="5">
    <mergeCell ref="A1:E1"/>
    <mergeCell ref="A2:E2"/>
    <mergeCell ref="A3:E3"/>
    <mergeCell ref="A4:A5"/>
    <mergeCell ref="E4:E5"/>
  </mergeCells>
  <phoneticPr fontId="7" type="noConversion"/>
  <pageMargins left="0.78740157499999996" right="0.78740157499999996" top="0.984251969" bottom="0.984251969" header="0.49212598499999999" footer="0.49212598499999999"/>
  <pageSetup scale="7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2"/>
  <sheetViews>
    <sheetView topLeftCell="A37" zoomScaleSheetLayoutView="100" workbookViewId="0">
      <selection activeCell="K25" sqref="K25"/>
    </sheetView>
  </sheetViews>
  <sheetFormatPr defaultRowHeight="12.75"/>
  <cols>
    <col min="1" max="1" width="4" style="9" customWidth="1"/>
    <col min="2" max="2" width="36.5703125" style="9" customWidth="1"/>
    <col min="3" max="3" width="7.28515625" style="9" customWidth="1"/>
    <col min="4" max="4" width="13.140625" style="9" customWidth="1"/>
    <col min="5" max="5" width="11.42578125" style="9" customWidth="1"/>
    <col min="6" max="6" width="11" style="9" customWidth="1"/>
    <col min="7" max="7" width="9.28515625" style="9" bestFit="1" customWidth="1"/>
    <col min="8" max="8" width="13.5703125" style="9" customWidth="1"/>
    <col min="9" max="9" width="15.85546875" style="9" customWidth="1"/>
    <col min="10" max="10" width="9.140625" style="9"/>
    <col min="11" max="11" width="11.28515625" style="9" bestFit="1" customWidth="1"/>
    <col min="12" max="12" width="14.28515625" style="9" bestFit="1" customWidth="1"/>
    <col min="13" max="16384" width="9.140625" style="9"/>
  </cols>
  <sheetData>
    <row r="1" spans="2:10" ht="13.5" thickBot="1">
      <c r="B1" s="898"/>
      <c r="C1" s="898"/>
      <c r="D1" s="898"/>
      <c r="E1" s="898"/>
      <c r="F1" s="898"/>
      <c r="G1" s="898"/>
      <c r="H1" s="898"/>
      <c r="I1" s="898"/>
    </row>
    <row r="2" spans="2:10" ht="18" customHeight="1">
      <c r="B2" s="777" t="str">
        <f>DADOS!D27</f>
        <v>GESTÃO AMBIENTAL - BR-158/MT</v>
      </c>
      <c r="C2" s="778"/>
      <c r="D2" s="778"/>
      <c r="E2" s="778"/>
      <c r="F2" s="778"/>
      <c r="G2" s="778"/>
      <c r="H2" s="778"/>
      <c r="I2" s="779"/>
    </row>
    <row r="3" spans="2:10" ht="15.75" customHeight="1">
      <c r="B3" s="881" t="s">
        <v>375</v>
      </c>
      <c r="C3" s="886"/>
      <c r="D3" s="886"/>
      <c r="E3" s="886"/>
      <c r="F3" s="886"/>
      <c r="G3" s="886"/>
      <c r="H3" s="886"/>
      <c r="I3" s="963"/>
    </row>
    <row r="4" spans="2:10">
      <c r="B4" s="503">
        <f>DADOS!E30</f>
        <v>43831</v>
      </c>
      <c r="C4" s="894"/>
      <c r="D4" s="961"/>
      <c r="E4" s="961"/>
      <c r="F4" s="961"/>
      <c r="G4" s="961"/>
      <c r="H4" s="961"/>
      <c r="I4" s="962"/>
    </row>
    <row r="5" spans="2:10">
      <c r="B5" s="77" t="s">
        <v>37</v>
      </c>
      <c r="C5" s="894"/>
      <c r="D5" s="961"/>
      <c r="E5" s="961"/>
      <c r="F5" s="961"/>
      <c r="G5" s="961"/>
      <c r="H5" s="961"/>
      <c r="I5" s="962"/>
    </row>
    <row r="6" spans="2:10">
      <c r="B6" s="958" t="s">
        <v>51</v>
      </c>
      <c r="C6" s="959"/>
      <c r="D6" s="78"/>
      <c r="E6" s="773" t="s">
        <v>30</v>
      </c>
      <c r="F6" s="773"/>
      <c r="G6" s="774"/>
      <c r="H6" s="773" t="s">
        <v>52</v>
      </c>
      <c r="I6" s="960"/>
    </row>
    <row r="7" spans="2:10">
      <c r="B7" s="958" t="s">
        <v>670</v>
      </c>
      <c r="C7" s="959"/>
      <c r="D7" s="76"/>
      <c r="E7" s="76"/>
      <c r="F7" s="76"/>
      <c r="G7" s="76"/>
      <c r="H7" s="501"/>
      <c r="I7" s="504"/>
    </row>
    <row r="8" spans="2:10">
      <c r="B8" s="77" t="s">
        <v>55</v>
      </c>
      <c r="C8" s="78" t="s">
        <v>659</v>
      </c>
      <c r="D8" s="501" t="s">
        <v>46</v>
      </c>
      <c r="E8" s="501" t="s">
        <v>57</v>
      </c>
      <c r="F8" s="501" t="s">
        <v>240</v>
      </c>
      <c r="G8" s="501" t="s">
        <v>49</v>
      </c>
      <c r="H8" s="501" t="s">
        <v>54</v>
      </c>
      <c r="I8" s="504" t="s">
        <v>14</v>
      </c>
    </row>
    <row r="9" spans="2:10">
      <c r="B9" s="82" t="s">
        <v>343</v>
      </c>
      <c r="C9" s="81" t="str">
        <f>DADOS_CONSULT!A27</f>
        <v>P8044</v>
      </c>
      <c r="D9" s="81" t="s">
        <v>237</v>
      </c>
      <c r="E9" s="502">
        <v>1</v>
      </c>
      <c r="F9" s="502">
        <v>264</v>
      </c>
      <c r="G9" s="502">
        <f t="shared" ref="G9:G15" si="0">F9*E9</f>
        <v>264</v>
      </c>
      <c r="H9" s="91">
        <f>DADOS_CONSULT!D27/22</f>
        <v>723.59818181818184</v>
      </c>
      <c r="I9" s="96">
        <f t="shared" ref="I9:I15" si="1">H9*G9</f>
        <v>191029.92</v>
      </c>
    </row>
    <row r="10" spans="2:10">
      <c r="B10" s="515" t="s">
        <v>344</v>
      </c>
      <c r="C10" s="574" t="str">
        <f>DADOS_CONSULT!$A$21</f>
        <v>P8033</v>
      </c>
      <c r="D10" s="418" t="s">
        <v>237</v>
      </c>
      <c r="E10" s="86">
        <v>2</v>
      </c>
      <c r="F10" s="529">
        <v>264</v>
      </c>
      <c r="G10" s="86">
        <f t="shared" si="0"/>
        <v>528</v>
      </c>
      <c r="H10" s="64">
        <f>DADOS_CONSULT!$D$21/22</f>
        <v>171.90454545454546</v>
      </c>
      <c r="I10" s="142">
        <f t="shared" si="1"/>
        <v>90765.6</v>
      </c>
    </row>
    <row r="11" spans="2:10">
      <c r="B11" s="515" t="s">
        <v>341</v>
      </c>
      <c r="C11" s="574" t="str">
        <f>DADOS_CONSULT!$A$21</f>
        <v>P8033</v>
      </c>
      <c r="D11" s="418" t="s">
        <v>237</v>
      </c>
      <c r="E11" s="86">
        <v>1</v>
      </c>
      <c r="F11" s="529">
        <v>264</v>
      </c>
      <c r="G11" s="86">
        <f t="shared" si="0"/>
        <v>264</v>
      </c>
      <c r="H11" s="64">
        <f>DADOS_CONSULT!$D$21/22</f>
        <v>171.90454545454546</v>
      </c>
      <c r="I11" s="142">
        <f t="shared" si="1"/>
        <v>45382.8</v>
      </c>
    </row>
    <row r="12" spans="2:10">
      <c r="B12" s="515" t="s">
        <v>342</v>
      </c>
      <c r="C12" s="574" t="str">
        <f>DADOS_CONSULT!$A$21</f>
        <v>P8033</v>
      </c>
      <c r="D12" s="418" t="s">
        <v>237</v>
      </c>
      <c r="E12" s="86">
        <v>1</v>
      </c>
      <c r="F12" s="529">
        <v>264</v>
      </c>
      <c r="G12" s="86">
        <f t="shared" si="0"/>
        <v>264</v>
      </c>
      <c r="H12" s="64">
        <f>DADOS_CONSULT!$D$21/22</f>
        <v>171.90454545454546</v>
      </c>
      <c r="I12" s="142">
        <f t="shared" si="1"/>
        <v>45382.8</v>
      </c>
    </row>
    <row r="13" spans="2:10">
      <c r="B13" s="515" t="s">
        <v>345</v>
      </c>
      <c r="C13" s="418" t="str">
        <f>DADOS_CONSULT!A16</f>
        <v>P8025</v>
      </c>
      <c r="D13" s="418" t="s">
        <v>237</v>
      </c>
      <c r="E13" s="86">
        <v>1</v>
      </c>
      <c r="F13" s="555">
        <v>264</v>
      </c>
      <c r="G13" s="86">
        <f t="shared" si="0"/>
        <v>264</v>
      </c>
      <c r="H13" s="64">
        <f>DADOS_CONSULT!D16/22</f>
        <v>54.499545454545455</v>
      </c>
      <c r="I13" s="142">
        <f t="shared" si="1"/>
        <v>14387.880000000001</v>
      </c>
    </row>
    <row r="14" spans="2:10">
      <c r="B14" s="516" t="s">
        <v>238</v>
      </c>
      <c r="C14" s="418" t="str">
        <f>DADOS_CONSULT!A66</f>
        <v>P8113</v>
      </c>
      <c r="D14" s="418" t="s">
        <v>237</v>
      </c>
      <c r="E14" s="86">
        <v>1</v>
      </c>
      <c r="F14" s="529">
        <v>264</v>
      </c>
      <c r="G14" s="86">
        <f t="shared" si="0"/>
        <v>264</v>
      </c>
      <c r="H14" s="64">
        <f>DADOS_CONSULT!D66/22</f>
        <v>76.184545454545457</v>
      </c>
      <c r="I14" s="142">
        <f t="shared" si="1"/>
        <v>20112.72</v>
      </c>
    </row>
    <row r="15" spans="2:10">
      <c r="B15" s="515" t="s">
        <v>334</v>
      </c>
      <c r="C15" s="418" t="str">
        <f>DADOS_CONSULT!A76</f>
        <v>P8135</v>
      </c>
      <c r="D15" s="418" t="s">
        <v>237</v>
      </c>
      <c r="E15" s="86">
        <v>1</v>
      </c>
      <c r="F15" s="529">
        <v>264</v>
      </c>
      <c r="G15" s="86">
        <f t="shared" si="0"/>
        <v>264</v>
      </c>
      <c r="H15" s="64">
        <f>DADOS_CONSULT!D76/22</f>
        <v>89.472727272727283</v>
      </c>
      <c r="I15" s="142">
        <f t="shared" si="1"/>
        <v>23620.800000000003</v>
      </c>
    </row>
    <row r="16" spans="2:10">
      <c r="B16" s="637" t="s">
        <v>644</v>
      </c>
      <c r="C16" s="81"/>
      <c r="D16" s="81"/>
      <c r="E16" s="502"/>
      <c r="F16" s="502"/>
      <c r="G16" s="502"/>
      <c r="H16" s="91"/>
      <c r="I16" s="95">
        <f>SUM(I9:I15)</f>
        <v>430682.51999999996</v>
      </c>
      <c r="J16" s="686">
        <v>16</v>
      </c>
    </row>
    <row r="17" spans="2:10">
      <c r="B17" s="952"/>
      <c r="C17" s="862"/>
      <c r="D17" s="862"/>
      <c r="E17" s="862"/>
      <c r="F17" s="862"/>
      <c r="G17" s="862"/>
      <c r="H17" s="862"/>
      <c r="I17" s="791"/>
      <c r="J17" s="686"/>
    </row>
    <row r="18" spans="2:10">
      <c r="B18" s="77" t="s">
        <v>651</v>
      </c>
      <c r="C18" s="583"/>
      <c r="D18" s="575"/>
      <c r="E18" s="575"/>
      <c r="F18" s="575"/>
      <c r="G18" s="575"/>
      <c r="H18" s="657"/>
      <c r="I18" s="585"/>
      <c r="J18" s="686"/>
    </row>
    <row r="19" spans="2:10">
      <c r="B19" s="82" t="s">
        <v>343</v>
      </c>
      <c r="C19" s="583"/>
      <c r="D19" s="575"/>
      <c r="E19" s="575"/>
      <c r="F19" s="575"/>
      <c r="G19" s="83">
        <f>DADOS_CONSULT!W27/100</f>
        <v>0.84819999999999995</v>
      </c>
      <c r="H19" s="644">
        <v>1</v>
      </c>
      <c r="I19" s="647">
        <f t="shared" ref="I19:I25" si="2">G19*H19*I9</f>
        <v>162031.578144</v>
      </c>
      <c r="J19" s="686"/>
    </row>
    <row r="20" spans="2:10">
      <c r="B20" s="515" t="s">
        <v>344</v>
      </c>
      <c r="C20" s="583"/>
      <c r="D20" s="575"/>
      <c r="E20" s="575"/>
      <c r="F20" s="575"/>
      <c r="G20" s="83">
        <f>DADOS_CONSULT!$W$21/100</f>
        <v>1.0064</v>
      </c>
      <c r="H20" s="644">
        <v>2</v>
      </c>
      <c r="I20" s="647">
        <f t="shared" si="2"/>
        <v>182692.99968000001</v>
      </c>
      <c r="J20" s="686"/>
    </row>
    <row r="21" spans="2:10">
      <c r="B21" s="515" t="s">
        <v>341</v>
      </c>
      <c r="C21" s="583"/>
      <c r="D21" s="575"/>
      <c r="E21" s="575"/>
      <c r="F21" s="575"/>
      <c r="G21" s="83">
        <f>DADOS_CONSULT!$W$21/100</f>
        <v>1.0064</v>
      </c>
      <c r="H21" s="644">
        <v>1</v>
      </c>
      <c r="I21" s="647">
        <f t="shared" si="2"/>
        <v>45673.249920000002</v>
      </c>
      <c r="J21" s="686"/>
    </row>
    <row r="22" spans="2:10">
      <c r="B22" s="515" t="s">
        <v>342</v>
      </c>
      <c r="C22" s="583"/>
      <c r="D22" s="575"/>
      <c r="E22" s="575"/>
      <c r="F22" s="575"/>
      <c r="G22" s="83">
        <f>DADOS_CONSULT!$W$21/100</f>
        <v>1.0064</v>
      </c>
      <c r="H22" s="644">
        <v>1</v>
      </c>
      <c r="I22" s="647">
        <f t="shared" si="2"/>
        <v>45673.249920000002</v>
      </c>
      <c r="J22" s="686"/>
    </row>
    <row r="23" spans="2:10">
      <c r="B23" s="515" t="s">
        <v>345</v>
      </c>
      <c r="C23" s="583"/>
      <c r="D23" s="575"/>
      <c r="E23" s="575"/>
      <c r="F23" s="575"/>
      <c r="G23" s="83">
        <f>DADOS_CONSULT!W16/100</f>
        <v>1.5485</v>
      </c>
      <c r="H23" s="644">
        <v>1</v>
      </c>
      <c r="I23" s="647">
        <f t="shared" si="2"/>
        <v>22279.632180000001</v>
      </c>
      <c r="J23" s="686"/>
    </row>
    <row r="24" spans="2:10">
      <c r="B24" s="516" t="s">
        <v>238</v>
      </c>
      <c r="C24" s="583"/>
      <c r="D24" s="575"/>
      <c r="E24" s="575"/>
      <c r="F24" s="575"/>
      <c r="G24" s="83">
        <f>DADOS_CONSULT!W66/100</f>
        <v>1.298</v>
      </c>
      <c r="H24" s="644">
        <v>1</v>
      </c>
      <c r="I24" s="647">
        <f t="shared" si="2"/>
        <v>26106.310560000002</v>
      </c>
      <c r="J24" s="686"/>
    </row>
    <row r="25" spans="2:10">
      <c r="B25" s="515" t="s">
        <v>334</v>
      </c>
      <c r="C25" s="76"/>
      <c r="D25" s="590"/>
      <c r="E25" s="590"/>
      <c r="F25" s="590"/>
      <c r="G25" s="83">
        <f>DADOS_CONSULT!W76/100</f>
        <v>1.1967000000000001</v>
      </c>
      <c r="H25" s="644">
        <v>1</v>
      </c>
      <c r="I25" s="647">
        <f t="shared" si="2"/>
        <v>28267.011360000004</v>
      </c>
      <c r="J25" s="686"/>
    </row>
    <row r="26" spans="2:10">
      <c r="B26" s="637" t="s">
        <v>645</v>
      </c>
      <c r="C26" s="81"/>
      <c r="D26" s="81"/>
      <c r="E26" s="590"/>
      <c r="F26" s="590"/>
      <c r="G26" s="590"/>
      <c r="H26" s="644"/>
      <c r="I26" s="646">
        <f>SUM(I19:I25)</f>
        <v>512724.03176400001</v>
      </c>
      <c r="J26" s="686">
        <v>26</v>
      </c>
    </row>
    <row r="27" spans="2:10">
      <c r="B27" s="952"/>
      <c r="C27" s="953"/>
      <c r="D27" s="953"/>
      <c r="E27" s="953"/>
      <c r="F27" s="953"/>
      <c r="G27" s="953"/>
      <c r="H27" s="953"/>
      <c r="I27" s="954"/>
    </row>
    <row r="28" spans="2:10">
      <c r="B28" s="77" t="s">
        <v>671</v>
      </c>
      <c r="C28" s="76"/>
      <c r="D28" s="589"/>
      <c r="E28" s="76"/>
      <c r="F28" s="76"/>
      <c r="G28" s="76"/>
      <c r="H28" s="76"/>
      <c r="I28" s="231"/>
    </row>
    <row r="29" spans="2:10">
      <c r="B29" s="77" t="s">
        <v>184</v>
      </c>
      <c r="C29" s="76"/>
      <c r="D29" s="589"/>
      <c r="E29" s="589" t="s">
        <v>48</v>
      </c>
      <c r="F29" s="589" t="s">
        <v>60</v>
      </c>
      <c r="G29" s="589" t="s">
        <v>638</v>
      </c>
      <c r="H29" s="589" t="s">
        <v>54</v>
      </c>
      <c r="I29" s="591" t="s">
        <v>14</v>
      </c>
    </row>
    <row r="30" spans="2:10">
      <c r="B30" s="65" t="str">
        <f>DADOS!H10</f>
        <v>CAMINHONETE - 140 A 165 CV</v>
      </c>
      <c r="C30" s="76"/>
      <c r="D30" s="590"/>
      <c r="E30" s="590">
        <v>3</v>
      </c>
      <c r="F30" s="590">
        <v>264</v>
      </c>
      <c r="G30" s="92">
        <f>F30*E30*8</f>
        <v>6336</v>
      </c>
      <c r="H30" s="644">
        <f>DADOS_CONSULT!AF13</f>
        <v>46.14</v>
      </c>
      <c r="I30" s="646">
        <f>H30*G30</f>
        <v>292343.03999999998</v>
      </c>
      <c r="J30" s="686"/>
    </row>
    <row r="31" spans="2:10">
      <c r="B31" s="628" t="s">
        <v>325</v>
      </c>
      <c r="C31" s="621"/>
      <c r="D31" s="633"/>
      <c r="E31" s="570" t="s">
        <v>48</v>
      </c>
      <c r="F31" s="570" t="s">
        <v>60</v>
      </c>
      <c r="G31" s="570" t="s">
        <v>638</v>
      </c>
      <c r="H31" s="589" t="s">
        <v>54</v>
      </c>
      <c r="I31" s="591" t="s">
        <v>14</v>
      </c>
      <c r="J31" s="686"/>
    </row>
    <row r="32" spans="2:10">
      <c r="B32" s="510" t="str">
        <f>DADOS!H17</f>
        <v>GPS</v>
      </c>
      <c r="C32" s="621"/>
      <c r="D32" s="570"/>
      <c r="E32" s="633">
        <v>4</v>
      </c>
      <c r="F32" s="633">
        <v>264</v>
      </c>
      <c r="G32" s="617">
        <f>F32*E32*8</f>
        <v>8448</v>
      </c>
      <c r="H32" s="644">
        <f>DADOS!K17/24</f>
        <v>0.45394286293555569</v>
      </c>
      <c r="I32" s="646">
        <f>H32*G32</f>
        <v>3834.9093060795744</v>
      </c>
      <c r="J32" s="686"/>
    </row>
    <row r="33" spans="2:10">
      <c r="B33" s="637" t="s">
        <v>646</v>
      </c>
      <c r="C33" s="76"/>
      <c r="D33" s="590"/>
      <c r="E33" s="590"/>
      <c r="F33" s="590"/>
      <c r="G33" s="92"/>
      <c r="H33" s="644"/>
      <c r="I33" s="646">
        <f>I30+I32</f>
        <v>296177.94930607954</v>
      </c>
      <c r="J33" s="685">
        <v>33</v>
      </c>
    </row>
    <row r="34" spans="2:10">
      <c r="B34" s="982"/>
      <c r="C34" s="983"/>
      <c r="D34" s="983"/>
      <c r="E34" s="983"/>
      <c r="F34" s="983"/>
      <c r="G34" s="983"/>
      <c r="H34" s="983"/>
      <c r="I34" s="984"/>
    </row>
    <row r="35" spans="2:10" ht="12" customHeight="1">
      <c r="B35" s="952"/>
      <c r="C35" s="953"/>
      <c r="D35" s="953"/>
      <c r="E35" s="953"/>
      <c r="F35" s="953"/>
      <c r="G35" s="953"/>
      <c r="H35" s="953"/>
      <c r="I35" s="954"/>
    </row>
    <row r="36" spans="2:10" ht="13.5" customHeight="1">
      <c r="B36" s="913" t="s">
        <v>86</v>
      </c>
      <c r="C36" s="914"/>
      <c r="D36" s="914"/>
      <c r="E36" s="914"/>
      <c r="F36" s="914"/>
      <c r="G36" s="914"/>
      <c r="H36" s="914"/>
      <c r="I36" s="634">
        <f>SUM(I16+I26+I33)</f>
        <v>1239584.5010700794</v>
      </c>
      <c r="J36" s="686">
        <v>36</v>
      </c>
    </row>
    <row r="37" spans="2:10">
      <c r="B37" s="915"/>
      <c r="C37" s="916"/>
      <c r="D37" s="916"/>
      <c r="E37" s="916"/>
      <c r="F37" s="916"/>
      <c r="G37" s="916"/>
      <c r="H37" s="916"/>
      <c r="I37" s="917"/>
    </row>
    <row r="38" spans="2:10">
      <c r="B38" s="900" t="s">
        <v>38</v>
      </c>
      <c r="C38" s="901"/>
      <c r="D38" s="902"/>
      <c r="E38" s="575"/>
      <c r="F38" s="575"/>
      <c r="G38" s="579"/>
      <c r="H38" s="580"/>
      <c r="I38" s="581"/>
    </row>
    <row r="39" spans="2:10">
      <c r="B39" s="649" t="s">
        <v>649</v>
      </c>
      <c r="C39" s="653"/>
      <c r="D39" s="658"/>
      <c r="E39" s="653"/>
      <c r="F39" s="653"/>
      <c r="G39" s="650"/>
      <c r="H39" s="653"/>
      <c r="I39" s="581"/>
    </row>
    <row r="40" spans="2:10">
      <c r="B40" s="656" t="s">
        <v>639</v>
      </c>
      <c r="C40" s="653"/>
      <c r="D40" s="658"/>
      <c r="E40" s="653"/>
      <c r="F40" s="653"/>
      <c r="G40" s="651">
        <v>0.1</v>
      </c>
      <c r="H40" s="653"/>
      <c r="I40" s="606">
        <f>G40*$I$36</f>
        <v>123958.45010700794</v>
      </c>
    </row>
    <row r="41" spans="2:10">
      <c r="B41" s="656" t="s">
        <v>640</v>
      </c>
      <c r="C41" s="653"/>
      <c r="D41" s="658"/>
      <c r="E41" s="653"/>
      <c r="F41" s="653"/>
      <c r="G41" s="651">
        <v>2.5000000000000001E-3</v>
      </c>
      <c r="H41" s="653"/>
      <c r="I41" s="606">
        <f t="shared" ref="I41:I43" si="3">G41*$I$36</f>
        <v>3098.9612526751985</v>
      </c>
    </row>
    <row r="42" spans="2:10">
      <c r="B42" s="656" t="s">
        <v>641</v>
      </c>
      <c r="C42" s="653"/>
      <c r="D42" s="658"/>
      <c r="E42" s="653"/>
      <c r="F42" s="653"/>
      <c r="G42" s="651">
        <v>7.1999999999999998E-3</v>
      </c>
      <c r="H42" s="653"/>
      <c r="I42" s="606">
        <f t="shared" si="3"/>
        <v>8925.0084077045722</v>
      </c>
    </row>
    <row r="43" spans="2:10">
      <c r="B43" s="656" t="s">
        <v>642</v>
      </c>
      <c r="C43" s="653"/>
      <c r="D43" s="658"/>
      <c r="E43" s="653"/>
      <c r="F43" s="653"/>
      <c r="G43" s="651">
        <v>1.4E-3</v>
      </c>
      <c r="H43" s="653"/>
      <c r="I43" s="606">
        <f t="shared" si="3"/>
        <v>1735.4183014981111</v>
      </c>
    </row>
    <row r="44" spans="2:10">
      <c r="B44" s="603" t="s">
        <v>648</v>
      </c>
      <c r="C44" s="653"/>
      <c r="D44" s="658"/>
      <c r="E44" s="653"/>
      <c r="F44" s="653"/>
      <c r="G44" s="651">
        <v>0.1111</v>
      </c>
      <c r="H44" s="653"/>
      <c r="I44" s="157">
        <f>SUM(I40:I43)</f>
        <v>137717.83806888582</v>
      </c>
      <c r="J44" s="685">
        <v>44</v>
      </c>
    </row>
    <row r="45" spans="2:10">
      <c r="B45" s="649"/>
      <c r="C45" s="653"/>
      <c r="D45" s="658"/>
      <c r="E45" s="653"/>
      <c r="F45" s="653"/>
      <c r="G45" s="653"/>
      <c r="H45" s="653"/>
      <c r="I45" s="581"/>
    </row>
    <row r="46" spans="2:10">
      <c r="B46" s="649" t="s">
        <v>654</v>
      </c>
      <c r="C46" s="653"/>
      <c r="D46" s="658"/>
      <c r="E46" s="653"/>
      <c r="F46" s="653"/>
      <c r="G46" s="653"/>
      <c r="H46" s="653"/>
      <c r="I46" s="581"/>
    </row>
    <row r="47" spans="2:10">
      <c r="B47" s="649" t="s">
        <v>673</v>
      </c>
      <c r="C47" s="653"/>
      <c r="D47" s="658"/>
      <c r="E47" s="653"/>
      <c r="F47" s="653"/>
      <c r="G47" s="651">
        <v>0.12</v>
      </c>
      <c r="H47" s="653"/>
      <c r="I47" s="604">
        <f>G47*I36</f>
        <v>148750.14012840952</v>
      </c>
      <c r="J47" s="686">
        <v>47</v>
      </c>
    </row>
    <row r="48" spans="2:10">
      <c r="B48" s="649"/>
      <c r="C48" s="653"/>
      <c r="D48" s="658"/>
      <c r="E48" s="653"/>
      <c r="F48" s="653"/>
      <c r="G48" s="653"/>
      <c r="H48" s="653"/>
      <c r="I48" s="581"/>
    </row>
    <row r="49" spans="2:13">
      <c r="B49" s="649" t="s">
        <v>655</v>
      </c>
      <c r="C49" s="653"/>
      <c r="D49" s="658"/>
      <c r="E49" s="653"/>
      <c r="F49" s="653"/>
      <c r="G49" s="651"/>
      <c r="H49" s="653"/>
      <c r="I49" s="581"/>
    </row>
    <row r="50" spans="2:13">
      <c r="B50" s="656" t="s">
        <v>656</v>
      </c>
      <c r="C50" s="653"/>
      <c r="D50" s="658"/>
      <c r="E50" s="653"/>
      <c r="F50" s="653"/>
      <c r="G50" s="651">
        <v>2.3699999999999999E-2</v>
      </c>
      <c r="H50" s="653"/>
      <c r="I50" s="606">
        <f>G50*$I$36</f>
        <v>29378.152675360881</v>
      </c>
    </row>
    <row r="51" spans="2:13">
      <c r="B51" s="656" t="s">
        <v>657</v>
      </c>
      <c r="C51" s="653"/>
      <c r="D51" s="658"/>
      <c r="E51" s="653"/>
      <c r="F51" s="653"/>
      <c r="G51" s="651">
        <v>0.1091</v>
      </c>
      <c r="H51" s="653"/>
      <c r="I51" s="606">
        <f t="shared" ref="I51:I52" si="4">G51*$I$36</f>
        <v>135238.66906674567</v>
      </c>
    </row>
    <row r="52" spans="2:13">
      <c r="B52" s="656" t="s">
        <v>658</v>
      </c>
      <c r="C52" s="653"/>
      <c r="D52" s="658"/>
      <c r="E52" s="653"/>
      <c r="F52" s="653"/>
      <c r="G52" s="651">
        <v>7.1800000000000003E-2</v>
      </c>
      <c r="H52" s="653"/>
      <c r="I52" s="606">
        <f t="shared" si="4"/>
        <v>89002.167176831703</v>
      </c>
      <c r="M52" s="235"/>
    </row>
    <row r="53" spans="2:13" ht="13.5" customHeight="1">
      <c r="B53" s="649"/>
      <c r="C53" s="653"/>
      <c r="D53" s="658"/>
      <c r="E53" s="653"/>
      <c r="F53" s="653"/>
      <c r="G53" s="650"/>
      <c r="H53" s="653"/>
      <c r="I53" s="157">
        <f>SUM(I50:I52)</f>
        <v>253618.98891893827</v>
      </c>
      <c r="J53" s="686">
        <v>53</v>
      </c>
    </row>
    <row r="54" spans="2:13" s="70" customFormat="1">
      <c r="B54" s="925"/>
      <c r="C54" s="926"/>
      <c r="D54" s="926"/>
      <c r="E54" s="926"/>
      <c r="F54" s="926"/>
      <c r="G54" s="926"/>
      <c r="H54" s="926"/>
      <c r="I54" s="927"/>
    </row>
    <row r="55" spans="2:13" ht="16.5" customHeight="1">
      <c r="B55" s="913" t="s">
        <v>202</v>
      </c>
      <c r="C55" s="914"/>
      <c r="D55" s="914"/>
      <c r="E55" s="914"/>
      <c r="F55" s="914"/>
      <c r="G55" s="914"/>
      <c r="H55" s="914"/>
      <c r="I55" s="233">
        <f>I44+I47+I53</f>
        <v>540086.96711623366</v>
      </c>
      <c r="J55" s="686">
        <v>55</v>
      </c>
      <c r="K55" s="235"/>
      <c r="L55" s="422"/>
    </row>
    <row r="56" spans="2:13">
      <c r="B56" s="918"/>
      <c r="C56" s="919"/>
      <c r="D56" s="919"/>
      <c r="E56" s="919"/>
      <c r="F56" s="919"/>
      <c r="G56" s="919"/>
      <c r="H56" s="919"/>
      <c r="I56" s="920"/>
    </row>
    <row r="57" spans="2:13" ht="13.5" thickBot="1">
      <c r="B57" s="921" t="s">
        <v>203</v>
      </c>
      <c r="C57" s="922"/>
      <c r="D57" s="922"/>
      <c r="E57" s="922"/>
      <c r="F57" s="922"/>
      <c r="G57" s="922"/>
      <c r="H57" s="922"/>
      <c r="I57" s="85">
        <f>SUM(I36+I55)</f>
        <v>1779671.4681863131</v>
      </c>
    </row>
    <row r="58" spans="2:13" ht="13.5" thickBot="1">
      <c r="B58" s="639"/>
      <c r="C58" s="623"/>
      <c r="D58" s="623"/>
      <c r="E58" s="623"/>
      <c r="F58" s="623"/>
      <c r="G58" s="623"/>
      <c r="H58" s="623"/>
      <c r="I58" s="292"/>
      <c r="J58" s="110"/>
    </row>
    <row r="59" spans="2:13" ht="12.75" customHeight="1">
      <c r="B59" s="970" t="s">
        <v>302</v>
      </c>
      <c r="C59" s="971"/>
      <c r="D59" s="971"/>
      <c r="E59" s="971"/>
      <c r="F59" s="971"/>
      <c r="G59" s="971"/>
      <c r="H59" s="971"/>
      <c r="I59" s="972"/>
    </row>
    <row r="60" spans="2:13" ht="8.25" customHeight="1">
      <c r="B60" s="973"/>
      <c r="C60" s="974"/>
      <c r="D60" s="974"/>
      <c r="E60" s="974"/>
      <c r="F60" s="974"/>
      <c r="G60" s="974"/>
      <c r="H60" s="974"/>
      <c r="I60" s="975"/>
    </row>
    <row r="61" spans="2:13" ht="16.5" customHeight="1">
      <c r="B61" s="976"/>
      <c r="C61" s="977"/>
      <c r="D61" s="977"/>
      <c r="E61" s="977"/>
      <c r="F61" s="977"/>
      <c r="G61" s="977"/>
      <c r="H61" s="977"/>
      <c r="I61" s="978"/>
    </row>
    <row r="62" spans="2:13" ht="28.5" customHeight="1" thickBot="1">
      <c r="B62" s="979" t="s">
        <v>396</v>
      </c>
      <c r="C62" s="980"/>
      <c r="D62" s="980"/>
      <c r="E62" s="980"/>
      <c r="F62" s="980"/>
      <c r="G62" s="980"/>
      <c r="H62" s="980"/>
      <c r="I62" s="981"/>
    </row>
  </sheetData>
  <mergeCells count="24">
    <mergeCell ref="B35:I35"/>
    <mergeCell ref="B36:H36"/>
    <mergeCell ref="B37:I37"/>
    <mergeCell ref="B34:I34"/>
    <mergeCell ref="B1:I1"/>
    <mergeCell ref="B2:I2"/>
    <mergeCell ref="B3:I3"/>
    <mergeCell ref="C4:I4"/>
    <mergeCell ref="C5:I5"/>
    <mergeCell ref="B6:C6"/>
    <mergeCell ref="E6:G6"/>
    <mergeCell ref="H6:I6"/>
    <mergeCell ref="B7:C7"/>
    <mergeCell ref="B17:I17"/>
    <mergeCell ref="B27:I27"/>
    <mergeCell ref="B38:D38"/>
    <mergeCell ref="B59:I59"/>
    <mergeCell ref="B60:I60"/>
    <mergeCell ref="B61:I61"/>
    <mergeCell ref="B62:I62"/>
    <mergeCell ref="B55:H55"/>
    <mergeCell ref="B56:I56"/>
    <mergeCell ref="B57:H57"/>
    <mergeCell ref="B54:I54"/>
  </mergeCells>
  <pageMargins left="0.78740157499999996" right="0.78740157499999996" top="0.984251969" bottom="0.984251969" header="0.49212598499999999" footer="0.49212598499999999"/>
  <pageSetup paperSize="9" scale="7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3"/>
  <sheetViews>
    <sheetView topLeftCell="A37" zoomScaleNormal="100" workbookViewId="0">
      <selection activeCell="M32" sqref="M32"/>
    </sheetView>
  </sheetViews>
  <sheetFormatPr defaultRowHeight="12.75"/>
  <cols>
    <col min="1" max="1" width="5.140625" style="9" customWidth="1"/>
    <col min="2" max="2" width="34" style="9" customWidth="1"/>
    <col min="3" max="3" width="6.5703125" style="9" customWidth="1"/>
    <col min="4" max="4" width="10.5703125" style="9" customWidth="1"/>
    <col min="5" max="5" width="8" style="9" customWidth="1"/>
    <col min="6" max="6" width="8.28515625" style="9" customWidth="1"/>
    <col min="7" max="7" width="8.140625" style="9" customWidth="1"/>
    <col min="8" max="8" width="11.7109375" style="9" customWidth="1"/>
    <col min="9" max="9" width="15.85546875" style="9" customWidth="1"/>
    <col min="10" max="10" width="9.140625" style="9"/>
    <col min="11" max="11" width="10" style="9" bestFit="1" customWidth="1"/>
    <col min="12" max="16384" width="9.140625" style="9"/>
  </cols>
  <sheetData>
    <row r="1" spans="2:11" ht="13.5" thickBot="1">
      <c r="B1" s="991"/>
      <c r="C1" s="991"/>
      <c r="D1" s="991"/>
      <c r="E1" s="991"/>
      <c r="F1" s="991"/>
      <c r="G1" s="991"/>
      <c r="H1" s="991"/>
      <c r="I1" s="991"/>
    </row>
    <row r="2" spans="2:11" ht="19.5" customHeight="1">
      <c r="B2" s="777" t="str">
        <f>DADOS!D27</f>
        <v>GESTÃO AMBIENTAL - BR-158/MT</v>
      </c>
      <c r="C2" s="778"/>
      <c r="D2" s="778"/>
      <c r="E2" s="778"/>
      <c r="F2" s="778"/>
      <c r="G2" s="778"/>
      <c r="H2" s="778"/>
      <c r="I2" s="779"/>
    </row>
    <row r="3" spans="2:11" ht="16.5" customHeight="1">
      <c r="B3" s="881" t="s">
        <v>376</v>
      </c>
      <c r="C3" s="995"/>
      <c r="D3" s="995"/>
      <c r="E3" s="995"/>
      <c r="F3" s="995"/>
      <c r="G3" s="995"/>
      <c r="H3" s="995"/>
      <c r="I3" s="996"/>
    </row>
    <row r="4" spans="2:11">
      <c r="B4" s="783">
        <f>DADOS!E30</f>
        <v>43831</v>
      </c>
      <c r="C4" s="784"/>
      <c r="D4" s="784"/>
      <c r="E4" s="784"/>
      <c r="F4" s="784"/>
      <c r="G4" s="784"/>
      <c r="H4" s="784"/>
      <c r="I4" s="785"/>
    </row>
    <row r="5" spans="2:11">
      <c r="B5" s="992" t="s">
        <v>37</v>
      </c>
      <c r="C5" s="993"/>
      <c r="D5" s="993"/>
      <c r="E5" s="993"/>
      <c r="F5" s="993"/>
      <c r="G5" s="993"/>
      <c r="H5" s="993"/>
      <c r="I5" s="994"/>
    </row>
    <row r="6" spans="2:11">
      <c r="B6" s="958" t="s">
        <v>51</v>
      </c>
      <c r="C6" s="959"/>
      <c r="D6" s="78"/>
      <c r="E6" s="773" t="s">
        <v>30</v>
      </c>
      <c r="F6" s="773"/>
      <c r="G6" s="774"/>
      <c r="H6" s="773" t="s">
        <v>52</v>
      </c>
      <c r="I6" s="960"/>
    </row>
    <row r="7" spans="2:11">
      <c r="B7" s="958" t="s">
        <v>670</v>
      </c>
      <c r="C7" s="959"/>
      <c r="D7" s="76"/>
      <c r="E7" s="76"/>
      <c r="F7" s="76"/>
      <c r="G7" s="76"/>
      <c r="H7" s="110"/>
      <c r="I7" s="111"/>
    </row>
    <row r="8" spans="2:11">
      <c r="B8" s="77" t="s">
        <v>55</v>
      </c>
      <c r="C8" s="78" t="s">
        <v>659</v>
      </c>
      <c r="D8" s="305" t="s">
        <v>46</v>
      </c>
      <c r="E8" s="79" t="s">
        <v>57</v>
      </c>
      <c r="F8" s="303" t="s">
        <v>240</v>
      </c>
      <c r="G8" s="79" t="s">
        <v>49</v>
      </c>
      <c r="H8" s="79" t="s">
        <v>54</v>
      </c>
      <c r="I8" s="80" t="s">
        <v>14</v>
      </c>
    </row>
    <row r="9" spans="2:11" ht="14.25" customHeight="1">
      <c r="B9" s="113" t="s">
        <v>263</v>
      </c>
      <c r="C9" s="308" t="str">
        <f>DADOS_CONSULT!A49</f>
        <v>P8069</v>
      </c>
      <c r="D9" s="302" t="s">
        <v>237</v>
      </c>
      <c r="E9" s="90">
        <v>1</v>
      </c>
      <c r="F9" s="90">
        <v>264</v>
      </c>
      <c r="G9" s="90">
        <f>F9*E9</f>
        <v>264</v>
      </c>
      <c r="H9" s="112">
        <f>DADOS_CONSULT!D49/22</f>
        <v>483.35181818181815</v>
      </c>
      <c r="I9" s="236">
        <f>H9*G9</f>
        <v>127604.87999999999</v>
      </c>
      <c r="J9" s="114"/>
      <c r="K9" s="114"/>
    </row>
    <row r="10" spans="2:11" ht="13.5" customHeight="1">
      <c r="B10" s="113" t="s">
        <v>169</v>
      </c>
      <c r="C10" s="418" t="str">
        <f>DADOS_CONSULT!A16</f>
        <v>P8025</v>
      </c>
      <c r="D10" s="418" t="s">
        <v>237</v>
      </c>
      <c r="E10" s="90">
        <v>1</v>
      </c>
      <c r="F10" s="86">
        <v>264</v>
      </c>
      <c r="G10" s="90">
        <f t="shared" ref="G10" si="0">F10*E10</f>
        <v>264</v>
      </c>
      <c r="H10" s="150">
        <f>DADOS_CONSULT!D16/22</f>
        <v>54.499545454545455</v>
      </c>
      <c r="I10" s="236">
        <f>H10*G10</f>
        <v>14387.880000000001</v>
      </c>
    </row>
    <row r="11" spans="2:11">
      <c r="B11" s="637" t="s">
        <v>644</v>
      </c>
      <c r="C11" s="81"/>
      <c r="D11" s="81"/>
      <c r="E11" s="72"/>
      <c r="F11" s="72"/>
      <c r="G11" s="72"/>
      <c r="H11" s="203"/>
      <c r="I11" s="157">
        <f>SUM(I9:I10)</f>
        <v>141992.75999999998</v>
      </c>
      <c r="J11" s="685">
        <v>11</v>
      </c>
    </row>
    <row r="12" spans="2:11">
      <c r="B12" s="952"/>
      <c r="C12" s="862"/>
      <c r="D12" s="862"/>
      <c r="E12" s="862"/>
      <c r="F12" s="862"/>
      <c r="G12" s="862"/>
      <c r="H12" s="862"/>
      <c r="I12" s="791"/>
      <c r="J12" s="685"/>
    </row>
    <row r="13" spans="2:11">
      <c r="B13" s="626" t="s">
        <v>651</v>
      </c>
      <c r="C13" s="643"/>
      <c r="D13" s="619"/>
      <c r="E13" s="619"/>
      <c r="F13" s="619"/>
      <c r="G13" s="619"/>
      <c r="H13" s="624"/>
      <c r="I13" s="625"/>
      <c r="J13" s="685"/>
    </row>
    <row r="14" spans="2:11">
      <c r="B14" s="113" t="s">
        <v>263</v>
      </c>
      <c r="C14" s="643"/>
      <c r="D14" s="619"/>
      <c r="E14" s="619"/>
      <c r="F14" s="619"/>
      <c r="G14" s="618">
        <f>DADOS_CONSULT!W49/100</f>
        <v>0.8748999999999999</v>
      </c>
      <c r="H14" s="644">
        <v>1</v>
      </c>
      <c r="I14" s="625">
        <f>G14*H14*I9</f>
        <v>111641.50951199998</v>
      </c>
      <c r="J14" s="685"/>
    </row>
    <row r="15" spans="2:11">
      <c r="B15" s="113" t="s">
        <v>169</v>
      </c>
      <c r="C15" s="643"/>
      <c r="D15" s="619"/>
      <c r="E15" s="619"/>
      <c r="F15" s="619"/>
      <c r="G15" s="618">
        <f>DADOS_CONSULT!$W$16/100</f>
        <v>1.5485</v>
      </c>
      <c r="H15" s="644">
        <v>1</v>
      </c>
      <c r="I15" s="625">
        <f>G15*H15*I10</f>
        <v>22279.632180000001</v>
      </c>
      <c r="J15" s="685"/>
    </row>
    <row r="16" spans="2:11">
      <c r="B16" s="638" t="s">
        <v>645</v>
      </c>
      <c r="C16" s="643"/>
      <c r="D16" s="619"/>
      <c r="E16" s="619"/>
      <c r="F16" s="619"/>
      <c r="G16" s="632"/>
      <c r="H16" s="624"/>
      <c r="I16" s="642">
        <f>SUM(I14:I15)</f>
        <v>133921.14169199998</v>
      </c>
      <c r="J16" s="685">
        <v>16</v>
      </c>
    </row>
    <row r="17" spans="2:10" ht="11.25" customHeight="1">
      <c r="B17" s="1000"/>
      <c r="C17" s="1001"/>
      <c r="D17" s="1001"/>
      <c r="E17" s="1001"/>
      <c r="F17" s="1001"/>
      <c r="G17" s="1001"/>
      <c r="H17" s="1001"/>
      <c r="I17" s="1002"/>
      <c r="J17" s="685"/>
    </row>
    <row r="18" spans="2:10">
      <c r="B18" s="626" t="s">
        <v>671</v>
      </c>
      <c r="C18" s="643"/>
      <c r="D18" s="635"/>
      <c r="E18" s="643"/>
      <c r="F18" s="643"/>
      <c r="G18" s="643"/>
      <c r="H18" s="643"/>
      <c r="I18" s="620"/>
      <c r="J18" s="685"/>
    </row>
    <row r="19" spans="2:10">
      <c r="B19" s="626" t="s">
        <v>184</v>
      </c>
      <c r="C19" s="643"/>
      <c r="D19" s="635"/>
      <c r="E19" s="635" t="s">
        <v>48</v>
      </c>
      <c r="F19" s="635" t="s">
        <v>60</v>
      </c>
      <c r="G19" s="635" t="s">
        <v>638</v>
      </c>
      <c r="H19" s="635" t="s">
        <v>54</v>
      </c>
      <c r="I19" s="659" t="s">
        <v>14</v>
      </c>
      <c r="J19" s="685"/>
    </row>
    <row r="20" spans="2:10">
      <c r="B20" s="660" t="str">
        <f>DADOS!H9</f>
        <v>CAMINHONETE - 71A 115 CV</v>
      </c>
      <c r="C20" s="643"/>
      <c r="D20" s="619"/>
      <c r="E20" s="619">
        <v>1</v>
      </c>
      <c r="F20" s="619">
        <v>132</v>
      </c>
      <c r="G20" s="661">
        <f>F20*E20*8</f>
        <v>1056</v>
      </c>
      <c r="H20" s="624">
        <f>DADOS_CONSULT!AF13</f>
        <v>46.14</v>
      </c>
      <c r="I20" s="642">
        <f>H20*G20</f>
        <v>48723.840000000004</v>
      </c>
      <c r="J20" s="685"/>
    </row>
    <row r="21" spans="2:10">
      <c r="B21" s="626" t="s">
        <v>325</v>
      </c>
      <c r="C21" s="643"/>
      <c r="D21" s="619"/>
      <c r="E21" s="662" t="s">
        <v>48</v>
      </c>
      <c r="F21" s="662" t="s">
        <v>60</v>
      </c>
      <c r="G21" s="662" t="s">
        <v>638</v>
      </c>
      <c r="H21" s="662" t="s">
        <v>54</v>
      </c>
      <c r="I21" s="663" t="s">
        <v>14</v>
      </c>
      <c r="J21" s="685"/>
    </row>
    <row r="22" spans="2:10">
      <c r="B22" s="660" t="str">
        <f>DADOS!H17</f>
        <v>GPS</v>
      </c>
      <c r="C22" s="643"/>
      <c r="D22" s="619"/>
      <c r="E22" s="619">
        <v>1</v>
      </c>
      <c r="F22" s="619">
        <v>132</v>
      </c>
      <c r="G22" s="661">
        <f>F22*E22*8</f>
        <v>1056</v>
      </c>
      <c r="H22" s="624">
        <f>DADOS!K43/24</f>
        <v>0.45394286293555569</v>
      </c>
      <c r="I22" s="642">
        <f>H22*G22</f>
        <v>479.3636632599468</v>
      </c>
      <c r="J22" s="685"/>
    </row>
    <row r="23" spans="2:10">
      <c r="B23" s="638" t="s">
        <v>646</v>
      </c>
      <c r="C23" s="643"/>
      <c r="D23" s="619"/>
      <c r="E23" s="619"/>
      <c r="F23" s="619"/>
      <c r="G23" s="661"/>
      <c r="H23" s="624"/>
      <c r="I23" s="642">
        <f>I20+I22</f>
        <v>49203.203663259948</v>
      </c>
      <c r="J23" s="685">
        <v>23</v>
      </c>
    </row>
    <row r="24" spans="2:10">
      <c r="B24" s="1000"/>
      <c r="C24" s="1001"/>
      <c r="D24" s="1001"/>
      <c r="E24" s="1001"/>
      <c r="F24" s="1001"/>
      <c r="G24" s="1001"/>
      <c r="H24" s="1001"/>
      <c r="I24" s="1002"/>
    </row>
    <row r="25" spans="2:10">
      <c r="B25" s="997" t="s">
        <v>86</v>
      </c>
      <c r="C25" s="998"/>
      <c r="D25" s="998"/>
      <c r="E25" s="998"/>
      <c r="F25" s="998"/>
      <c r="G25" s="998"/>
      <c r="H25" s="999"/>
      <c r="I25" s="664">
        <f>I11+I16+I23</f>
        <v>325117.10535525996</v>
      </c>
      <c r="J25" s="686">
        <v>25</v>
      </c>
    </row>
    <row r="26" spans="2:10">
      <c r="B26" s="1003"/>
      <c r="C26" s="1004"/>
      <c r="D26" s="1004"/>
      <c r="E26" s="1004"/>
      <c r="F26" s="1004"/>
      <c r="G26" s="1004"/>
      <c r="H26" s="1004"/>
      <c r="I26" s="1005"/>
    </row>
    <row r="27" spans="2:10">
      <c r="B27" s="900" t="s">
        <v>38</v>
      </c>
      <c r="C27" s="901"/>
      <c r="D27" s="902"/>
      <c r="E27" s="575"/>
      <c r="F27" s="575"/>
      <c r="G27" s="579"/>
      <c r="H27" s="580"/>
      <c r="I27" s="581"/>
    </row>
    <row r="28" spans="2:10">
      <c r="B28" s="649" t="s">
        <v>649</v>
      </c>
      <c r="C28" s="653"/>
      <c r="D28" s="658"/>
      <c r="E28" s="653"/>
      <c r="F28" s="653"/>
      <c r="G28" s="650"/>
      <c r="H28" s="653"/>
      <c r="I28" s="581"/>
    </row>
    <row r="29" spans="2:10">
      <c r="B29" s="656" t="s">
        <v>639</v>
      </c>
      <c r="C29" s="653"/>
      <c r="D29" s="658"/>
      <c r="E29" s="653"/>
      <c r="F29" s="653"/>
      <c r="G29" s="651">
        <v>0.1</v>
      </c>
      <c r="H29" s="653"/>
      <c r="I29" s="606">
        <f>G29*$I$25</f>
        <v>32511.710535525999</v>
      </c>
    </row>
    <row r="30" spans="2:10">
      <c r="B30" s="656" t="s">
        <v>640</v>
      </c>
      <c r="C30" s="653"/>
      <c r="D30" s="658"/>
      <c r="E30" s="653"/>
      <c r="F30" s="653"/>
      <c r="G30" s="651">
        <v>2.5000000000000001E-3</v>
      </c>
      <c r="H30" s="653"/>
      <c r="I30" s="606">
        <f>G30*$I$25</f>
        <v>812.79276338814998</v>
      </c>
    </row>
    <row r="31" spans="2:10">
      <c r="B31" s="656" t="s">
        <v>641</v>
      </c>
      <c r="C31" s="653"/>
      <c r="D31" s="658"/>
      <c r="E31" s="653"/>
      <c r="F31" s="653"/>
      <c r="G31" s="651">
        <v>7.1999999999999998E-3</v>
      </c>
      <c r="H31" s="653"/>
      <c r="I31" s="606">
        <f>G31*$I$25</f>
        <v>2340.8431585578714</v>
      </c>
    </row>
    <row r="32" spans="2:10">
      <c r="B32" s="656" t="s">
        <v>642</v>
      </c>
      <c r="C32" s="653"/>
      <c r="D32" s="658"/>
      <c r="E32" s="653"/>
      <c r="F32" s="653"/>
      <c r="G32" s="651">
        <v>1.4E-3</v>
      </c>
      <c r="H32" s="653"/>
      <c r="I32" s="606">
        <f>G32*$I$25</f>
        <v>455.16394749736395</v>
      </c>
    </row>
    <row r="33" spans="2:11">
      <c r="B33" s="603" t="s">
        <v>648</v>
      </c>
      <c r="C33" s="653"/>
      <c r="D33" s="658"/>
      <c r="E33" s="653"/>
      <c r="F33" s="653"/>
      <c r="G33" s="651">
        <v>0.1111</v>
      </c>
      <c r="H33" s="653"/>
      <c r="I33" s="157">
        <f>SUM(I29:I32)</f>
        <v>36120.510404969384</v>
      </c>
      <c r="J33" s="686">
        <v>33</v>
      </c>
    </row>
    <row r="34" spans="2:11">
      <c r="B34" s="649"/>
      <c r="C34" s="653"/>
      <c r="D34" s="658"/>
      <c r="E34" s="653"/>
      <c r="F34" s="653"/>
      <c r="G34" s="653"/>
      <c r="H34" s="653"/>
      <c r="I34" s="581"/>
    </row>
    <row r="35" spans="2:11">
      <c r="B35" s="649" t="s">
        <v>654</v>
      </c>
      <c r="C35" s="653"/>
      <c r="D35" s="658"/>
      <c r="E35" s="653"/>
      <c r="F35" s="653"/>
      <c r="G35" s="653"/>
      <c r="H35" s="653"/>
      <c r="I35" s="581"/>
    </row>
    <row r="36" spans="2:11">
      <c r="B36" s="649" t="s">
        <v>673</v>
      </c>
      <c r="C36" s="653"/>
      <c r="D36" s="658"/>
      <c r="E36" s="653"/>
      <c r="F36" s="653"/>
      <c r="G36" s="651">
        <v>0.12</v>
      </c>
      <c r="H36" s="653"/>
      <c r="I36" s="604">
        <f>G36*I25</f>
        <v>39014.052642631192</v>
      </c>
      <c r="J36" s="686">
        <v>36</v>
      </c>
    </row>
    <row r="37" spans="2:11">
      <c r="B37" s="649"/>
      <c r="C37" s="653"/>
      <c r="D37" s="658"/>
      <c r="E37" s="653"/>
      <c r="F37" s="653"/>
      <c r="G37" s="653"/>
      <c r="H37" s="653"/>
      <c r="I37" s="581"/>
    </row>
    <row r="38" spans="2:11">
      <c r="B38" s="649" t="s">
        <v>655</v>
      </c>
      <c r="C38" s="653"/>
      <c r="D38" s="658"/>
      <c r="E38" s="653"/>
      <c r="F38" s="653"/>
      <c r="G38" s="651"/>
      <c r="H38" s="653"/>
      <c r="I38" s="581"/>
    </row>
    <row r="39" spans="2:11">
      <c r="B39" s="656" t="s">
        <v>656</v>
      </c>
      <c r="C39" s="653"/>
      <c r="D39" s="658"/>
      <c r="E39" s="653"/>
      <c r="F39" s="653"/>
      <c r="G39" s="651">
        <v>2.3699999999999999E-2</v>
      </c>
      <c r="H39" s="653"/>
      <c r="I39" s="606">
        <f>G39*$I$25</f>
        <v>7705.275396919661</v>
      </c>
    </row>
    <row r="40" spans="2:11">
      <c r="B40" s="656" t="s">
        <v>657</v>
      </c>
      <c r="C40" s="653"/>
      <c r="D40" s="658"/>
      <c r="E40" s="653"/>
      <c r="F40" s="653"/>
      <c r="G40" s="651">
        <v>0.1091</v>
      </c>
      <c r="H40" s="653"/>
      <c r="I40" s="606">
        <f>G40*$I$25</f>
        <v>35470.276194258862</v>
      </c>
    </row>
    <row r="41" spans="2:11">
      <c r="B41" s="656" t="s">
        <v>658</v>
      </c>
      <c r="C41" s="653"/>
      <c r="D41" s="658"/>
      <c r="E41" s="653"/>
      <c r="F41" s="653"/>
      <c r="G41" s="651">
        <v>7.1800000000000003E-2</v>
      </c>
      <c r="H41" s="653"/>
      <c r="I41" s="606">
        <f>G41*$I$25</f>
        <v>23343.408164507666</v>
      </c>
    </row>
    <row r="42" spans="2:11">
      <c r="B42" s="649"/>
      <c r="C42" s="653"/>
      <c r="D42" s="658"/>
      <c r="E42" s="653"/>
      <c r="F42" s="653"/>
      <c r="G42" s="650"/>
      <c r="H42" s="653"/>
      <c r="I42" s="157">
        <f>SUM(I39:I41)</f>
        <v>66518.959755686199</v>
      </c>
      <c r="J42" s="686">
        <v>42</v>
      </c>
    </row>
    <row r="43" spans="2:11">
      <c r="B43" s="925"/>
      <c r="C43" s="926"/>
      <c r="D43" s="926"/>
      <c r="E43" s="926"/>
      <c r="F43" s="926"/>
      <c r="G43" s="926"/>
      <c r="H43" s="926"/>
      <c r="I43" s="927"/>
    </row>
    <row r="44" spans="2:11">
      <c r="B44" s="913" t="s">
        <v>202</v>
      </c>
      <c r="C44" s="914"/>
      <c r="D44" s="914"/>
      <c r="E44" s="914"/>
      <c r="F44" s="914"/>
      <c r="G44" s="914"/>
      <c r="H44" s="914"/>
      <c r="I44" s="233">
        <f>I33+I36+I42</f>
        <v>141653.52280328679</v>
      </c>
      <c r="J44" s="686">
        <v>44</v>
      </c>
    </row>
    <row r="45" spans="2:11">
      <c r="B45" s="918"/>
      <c r="C45" s="919"/>
      <c r="D45" s="919"/>
      <c r="E45" s="919"/>
      <c r="F45" s="919"/>
      <c r="G45" s="919"/>
      <c r="H45" s="919"/>
      <c r="I45" s="920"/>
    </row>
    <row r="46" spans="2:11" ht="13.5" customHeight="1" thickBot="1">
      <c r="B46" s="921" t="s">
        <v>203</v>
      </c>
      <c r="C46" s="922"/>
      <c r="D46" s="922"/>
      <c r="E46" s="922"/>
      <c r="F46" s="922"/>
      <c r="G46" s="922"/>
      <c r="H46" s="922"/>
      <c r="I46" s="85">
        <f>SUM(I25+I44)</f>
        <v>466770.62815854675</v>
      </c>
    </row>
    <row r="47" spans="2:11" ht="13.5" thickBot="1">
      <c r="K47" s="140"/>
    </row>
    <row r="48" spans="2:11">
      <c r="B48" s="970" t="s">
        <v>173</v>
      </c>
      <c r="C48" s="971"/>
      <c r="D48" s="971"/>
      <c r="E48" s="971"/>
      <c r="F48" s="971"/>
      <c r="G48" s="971"/>
      <c r="H48" s="971"/>
      <c r="I48" s="972"/>
    </row>
    <row r="49" spans="2:9" ht="6" customHeight="1">
      <c r="B49" s="108"/>
      <c r="C49" s="107"/>
      <c r="D49" s="107"/>
      <c r="E49" s="107"/>
      <c r="F49" s="107"/>
      <c r="G49" s="107"/>
      <c r="H49" s="107"/>
      <c r="I49" s="109"/>
    </row>
    <row r="50" spans="2:9">
      <c r="B50" s="489"/>
      <c r="C50" s="490"/>
      <c r="D50" s="490"/>
      <c r="E50" s="490"/>
      <c r="F50" s="490"/>
      <c r="G50" s="490"/>
      <c r="H50" s="490"/>
      <c r="I50" s="491"/>
    </row>
    <row r="51" spans="2:9" ht="13.5" customHeight="1">
      <c r="B51" s="985"/>
      <c r="C51" s="986"/>
      <c r="D51" s="986"/>
      <c r="E51" s="986"/>
      <c r="F51" s="986"/>
      <c r="G51" s="986"/>
      <c r="H51" s="986"/>
      <c r="I51" s="987"/>
    </row>
    <row r="52" spans="2:9" ht="14.25" customHeight="1">
      <c r="B52" s="988"/>
      <c r="C52" s="989"/>
      <c r="D52" s="989"/>
      <c r="E52" s="989"/>
      <c r="F52" s="989"/>
      <c r="G52" s="989"/>
      <c r="H52" s="989"/>
      <c r="I52" s="990"/>
    </row>
    <row r="53" spans="2:9" ht="12.75" customHeight="1" thickBot="1">
      <c r="B53" s="115"/>
      <c r="C53" s="116"/>
      <c r="D53" s="116"/>
      <c r="E53" s="116"/>
      <c r="F53" s="116"/>
      <c r="G53" s="116"/>
      <c r="H53" s="116"/>
      <c r="I53" s="117"/>
    </row>
  </sheetData>
  <mergeCells count="22">
    <mergeCell ref="B7:C7"/>
    <mergeCell ref="B25:H25"/>
    <mergeCell ref="B48:I48"/>
    <mergeCell ref="B12:I12"/>
    <mergeCell ref="B17:I17"/>
    <mergeCell ref="B24:I24"/>
    <mergeCell ref="B26:I26"/>
    <mergeCell ref="B27:D27"/>
    <mergeCell ref="B43:I43"/>
    <mergeCell ref="B1:I1"/>
    <mergeCell ref="B2:I2"/>
    <mergeCell ref="B4:I4"/>
    <mergeCell ref="B5:I5"/>
    <mergeCell ref="B6:C6"/>
    <mergeCell ref="E6:G6"/>
    <mergeCell ref="H6:I6"/>
    <mergeCell ref="B3:I3"/>
    <mergeCell ref="B51:I51"/>
    <mergeCell ref="B52:I52"/>
    <mergeCell ref="B44:H44"/>
    <mergeCell ref="B45:I45"/>
    <mergeCell ref="B46:H46"/>
  </mergeCells>
  <phoneticPr fontId="24" type="noConversion"/>
  <pageMargins left="0.78740157499999996" right="0.78740157499999996" top="0.984251969" bottom="0.984251969" header="0.49212598499999999" footer="0.49212598499999999"/>
  <pageSetup paperSize="9" scale="8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S73"/>
  <sheetViews>
    <sheetView zoomScaleNormal="100" zoomScaleSheetLayoutView="100" workbookViewId="0">
      <selection activeCell="R58" sqref="R58"/>
    </sheetView>
  </sheetViews>
  <sheetFormatPr defaultRowHeight="12.75"/>
  <cols>
    <col min="1" max="1" width="3.7109375" style="9" customWidth="1"/>
    <col min="2" max="2" width="39.85546875" style="9" customWidth="1"/>
    <col min="3" max="3" width="6.85546875" style="9" bestFit="1" customWidth="1"/>
    <col min="4" max="4" width="10" style="9" bestFit="1" customWidth="1"/>
    <col min="5" max="5" width="8.28515625" style="9" customWidth="1"/>
    <col min="6" max="6" width="7.140625" style="9" customWidth="1"/>
    <col min="7" max="7" width="8.85546875" style="9" customWidth="1"/>
    <col min="8" max="8" width="12.42578125" style="9" customWidth="1"/>
    <col min="9" max="9" width="16.42578125" style="9" customWidth="1"/>
    <col min="10" max="10" width="9.140625" style="9"/>
    <col min="11" max="11" width="12.7109375" style="9" customWidth="1"/>
    <col min="12" max="16384" width="9.140625" style="9"/>
  </cols>
  <sheetData>
    <row r="1" spans="2:10" ht="13.5" thickBot="1">
      <c r="B1" s="898"/>
      <c r="C1" s="898"/>
      <c r="D1" s="898"/>
      <c r="E1" s="898"/>
      <c r="F1" s="898"/>
      <c r="G1" s="898"/>
      <c r="H1" s="898"/>
      <c r="I1" s="898"/>
    </row>
    <row r="2" spans="2:10" ht="19.5" customHeight="1">
      <c r="B2" s="777" t="str">
        <f>DADOS!D27</f>
        <v>GESTÃO AMBIENTAL - BR-158/MT</v>
      </c>
      <c r="C2" s="778"/>
      <c r="D2" s="778"/>
      <c r="E2" s="778"/>
      <c r="F2" s="778"/>
      <c r="G2" s="778"/>
      <c r="H2" s="778"/>
      <c r="I2" s="779"/>
    </row>
    <row r="3" spans="2:10" ht="18.75" customHeight="1">
      <c r="B3" s="881" t="s">
        <v>392</v>
      </c>
      <c r="C3" s="886"/>
      <c r="D3" s="886"/>
      <c r="E3" s="886"/>
      <c r="F3" s="886"/>
      <c r="G3" s="886"/>
      <c r="H3" s="886"/>
      <c r="I3" s="963"/>
    </row>
    <row r="4" spans="2:10">
      <c r="B4" s="147">
        <f>DADOS!E30</f>
        <v>43831</v>
      </c>
      <c r="C4" s="894"/>
      <c r="D4" s="895"/>
      <c r="E4" s="895"/>
      <c r="F4" s="895"/>
      <c r="G4" s="895"/>
      <c r="H4" s="895"/>
      <c r="I4" s="896"/>
    </row>
    <row r="5" spans="2:10">
      <c r="B5" s="94" t="s">
        <v>37</v>
      </c>
      <c r="C5" s="897"/>
      <c r="D5" s="895"/>
      <c r="E5" s="895"/>
      <c r="F5" s="895"/>
      <c r="G5" s="895"/>
      <c r="H5" s="895"/>
      <c r="I5" s="896"/>
    </row>
    <row r="6" spans="2:10">
      <c r="B6" s="958" t="s">
        <v>51</v>
      </c>
      <c r="C6" s="959"/>
      <c r="D6" s="78"/>
      <c r="E6" s="773" t="s">
        <v>30</v>
      </c>
      <c r="F6" s="773"/>
      <c r="G6" s="774"/>
      <c r="H6" s="773" t="s">
        <v>52</v>
      </c>
      <c r="I6" s="960"/>
    </row>
    <row r="7" spans="2:10">
      <c r="B7" s="958" t="s">
        <v>670</v>
      </c>
      <c r="C7" s="959"/>
      <c r="D7" s="76"/>
      <c r="E7" s="76"/>
      <c r="F7" s="76"/>
      <c r="G7" s="76"/>
      <c r="H7" s="79"/>
      <c r="I7" s="80"/>
    </row>
    <row r="8" spans="2:10">
      <c r="B8" s="77" t="s">
        <v>55</v>
      </c>
      <c r="C8" s="78" t="s">
        <v>659</v>
      </c>
      <c r="D8" s="79" t="s">
        <v>46</v>
      </c>
      <c r="E8" s="79" t="s">
        <v>57</v>
      </c>
      <c r="F8" s="303" t="s">
        <v>240</v>
      </c>
      <c r="G8" s="79" t="s">
        <v>49</v>
      </c>
      <c r="H8" s="79" t="s">
        <v>54</v>
      </c>
      <c r="I8" s="80" t="s">
        <v>14</v>
      </c>
    </row>
    <row r="9" spans="2:10" ht="30.75" customHeight="1">
      <c r="B9" s="515" t="s">
        <v>346</v>
      </c>
      <c r="C9" s="418" t="str">
        <f>DADOS_CONSULT!A27</f>
        <v>P8044</v>
      </c>
      <c r="D9" s="418" t="s">
        <v>237</v>
      </c>
      <c r="E9" s="86">
        <v>1</v>
      </c>
      <c r="F9" s="86">
        <v>22</v>
      </c>
      <c r="G9" s="86">
        <f t="shared" ref="G9:G15" si="0">F9*E9</f>
        <v>22</v>
      </c>
      <c r="H9" s="64">
        <f>DADOS_CONSULT!D27/22</f>
        <v>723.59818181818184</v>
      </c>
      <c r="I9" s="142">
        <f t="shared" ref="I9:I14" si="1">H9*G9</f>
        <v>15919.16</v>
      </c>
    </row>
    <row r="10" spans="2:10" ht="36" customHeight="1">
      <c r="B10" s="515" t="s">
        <v>347</v>
      </c>
      <c r="C10" s="418" t="str">
        <f>DADOS_CONSULT!A74</f>
        <v>P8130</v>
      </c>
      <c r="D10" s="418" t="s">
        <v>237</v>
      </c>
      <c r="E10" s="86">
        <v>1</v>
      </c>
      <c r="F10" s="86">
        <v>22</v>
      </c>
      <c r="G10" s="86">
        <f t="shared" si="0"/>
        <v>22</v>
      </c>
      <c r="H10" s="64">
        <f>DADOS_CONSULT!D74/22</f>
        <v>201.99590909090909</v>
      </c>
      <c r="I10" s="142">
        <f t="shared" si="1"/>
        <v>4443.91</v>
      </c>
    </row>
    <row r="11" spans="2:10">
      <c r="B11" s="515" t="s">
        <v>348</v>
      </c>
      <c r="C11" s="418" t="str">
        <f>DADOS_CONSULT!A58</f>
        <v>P8093</v>
      </c>
      <c r="D11" s="418" t="s">
        <v>237</v>
      </c>
      <c r="E11" s="86">
        <v>1</v>
      </c>
      <c r="F11" s="86">
        <v>22</v>
      </c>
      <c r="G11" s="86">
        <f t="shared" si="0"/>
        <v>22</v>
      </c>
      <c r="H11" s="64">
        <f>DADOS_CONSULT!D58/22</f>
        <v>159.95681818181819</v>
      </c>
      <c r="I11" s="142">
        <f>H11*G11</f>
        <v>3519.05</v>
      </c>
    </row>
    <row r="12" spans="2:10">
      <c r="B12" s="515" t="s">
        <v>349</v>
      </c>
      <c r="C12" s="418" t="str">
        <f>DADOS_CONSULT!A78</f>
        <v>P8143</v>
      </c>
      <c r="D12" s="418" t="s">
        <v>237</v>
      </c>
      <c r="E12" s="86">
        <v>1</v>
      </c>
      <c r="F12" s="86">
        <v>22</v>
      </c>
      <c r="G12" s="86">
        <f t="shared" si="0"/>
        <v>22</v>
      </c>
      <c r="H12" s="64">
        <f>DADOS_CONSULT!D78/22</f>
        <v>104.15272727272728</v>
      </c>
      <c r="I12" s="142">
        <f>H12*G12</f>
        <v>2291.36</v>
      </c>
    </row>
    <row r="13" spans="2:10">
      <c r="B13" s="515" t="s">
        <v>350</v>
      </c>
      <c r="C13" s="418" t="str">
        <f>DADOS_CONSULT!A82</f>
        <v>P8159</v>
      </c>
      <c r="D13" s="418" t="s">
        <v>237</v>
      </c>
      <c r="E13" s="86">
        <v>1</v>
      </c>
      <c r="F13" s="86">
        <v>22</v>
      </c>
      <c r="G13" s="86">
        <f t="shared" si="0"/>
        <v>22</v>
      </c>
      <c r="H13" s="64">
        <f>DADOS_CONSULT!D82/22</f>
        <v>145.63363636363636</v>
      </c>
      <c r="I13" s="142">
        <f t="shared" si="1"/>
        <v>3203.9399999999996</v>
      </c>
    </row>
    <row r="14" spans="2:10">
      <c r="B14" s="515" t="s">
        <v>334</v>
      </c>
      <c r="C14" s="418" t="str">
        <f>DADOS_CONSULT!A76</f>
        <v>P8135</v>
      </c>
      <c r="D14" s="418" t="s">
        <v>237</v>
      </c>
      <c r="E14" s="86">
        <v>1</v>
      </c>
      <c r="F14" s="86">
        <v>22</v>
      </c>
      <c r="G14" s="86">
        <f t="shared" si="0"/>
        <v>22</v>
      </c>
      <c r="H14" s="64">
        <f>DADOS_CONSULT!D76/22</f>
        <v>89.472727272727283</v>
      </c>
      <c r="I14" s="142">
        <f t="shared" si="1"/>
        <v>1968.4000000000003</v>
      </c>
    </row>
    <row r="15" spans="2:10">
      <c r="B15" s="82" t="s">
        <v>335</v>
      </c>
      <c r="C15" s="81" t="str">
        <f>DADOS_CONSULT!A66</f>
        <v>P8113</v>
      </c>
      <c r="D15" s="81" t="s">
        <v>237</v>
      </c>
      <c r="E15" s="555">
        <v>2</v>
      </c>
      <c r="F15" s="555">
        <v>22</v>
      </c>
      <c r="G15" s="555">
        <f t="shared" si="0"/>
        <v>44</v>
      </c>
      <c r="H15" s="91">
        <f>DADOS_CONSULT!D66/22</f>
        <v>76.184545454545457</v>
      </c>
      <c r="I15" s="96">
        <f>H15*G15</f>
        <v>3352.12</v>
      </c>
    </row>
    <row r="16" spans="2:10">
      <c r="B16" s="637" t="s">
        <v>644</v>
      </c>
      <c r="C16" s="81"/>
      <c r="D16" s="81"/>
      <c r="E16" s="555"/>
      <c r="F16" s="555"/>
      <c r="G16" s="555"/>
      <c r="H16" s="91"/>
      <c r="I16" s="95">
        <f>SUM(I9:I15)</f>
        <v>34697.94</v>
      </c>
      <c r="J16" s="686">
        <v>16</v>
      </c>
    </row>
    <row r="17" spans="2:10">
      <c r="B17" s="949"/>
      <c r="C17" s="950"/>
      <c r="D17" s="950"/>
      <c r="E17" s="950"/>
      <c r="F17" s="950"/>
      <c r="G17" s="950"/>
      <c r="H17" s="950"/>
      <c r="I17" s="951"/>
    </row>
    <row r="18" spans="2:10">
      <c r="B18" s="77" t="s">
        <v>651</v>
      </c>
      <c r="C18" s="583"/>
      <c r="D18" s="575"/>
      <c r="E18" s="575"/>
      <c r="F18" s="575"/>
      <c r="G18" s="575"/>
      <c r="H18" s="584"/>
      <c r="I18" s="585"/>
    </row>
    <row r="19" spans="2:10" ht="25.5">
      <c r="B19" s="515" t="s">
        <v>346</v>
      </c>
      <c r="C19" s="76"/>
      <c r="D19" s="590"/>
      <c r="E19" s="590"/>
      <c r="F19" s="590"/>
      <c r="G19" s="83">
        <f>DADOS_CONSULT!W27/100</f>
        <v>0.84819999999999995</v>
      </c>
      <c r="H19" s="644">
        <v>1</v>
      </c>
      <c r="I19" s="647">
        <f>G19*H19*I9</f>
        <v>13502.631512</v>
      </c>
    </row>
    <row r="20" spans="2:10" ht="38.25">
      <c r="B20" s="515" t="s">
        <v>347</v>
      </c>
      <c r="C20" s="76"/>
      <c r="D20" s="590"/>
      <c r="E20" s="590"/>
      <c r="F20" s="590"/>
      <c r="G20" s="83">
        <f>DADOS_CONSULT!W74/100</f>
        <v>0.97360000000000002</v>
      </c>
      <c r="H20" s="644">
        <v>1</v>
      </c>
      <c r="I20" s="647">
        <f t="shared" ref="I20:I24" si="2">G20*H20*I10</f>
        <v>4326.590776</v>
      </c>
    </row>
    <row r="21" spans="2:10">
      <c r="B21" s="515" t="s">
        <v>348</v>
      </c>
      <c r="C21" s="76"/>
      <c r="D21" s="590"/>
      <c r="E21" s="590"/>
      <c r="F21" s="590"/>
      <c r="G21" s="83">
        <f>DADOS_CONSULT!W58/100</f>
        <v>1.0181</v>
      </c>
      <c r="H21" s="644">
        <v>1</v>
      </c>
      <c r="I21" s="647">
        <f t="shared" si="2"/>
        <v>3582.7448050000003</v>
      </c>
    </row>
    <row r="22" spans="2:10">
      <c r="B22" s="515" t="s">
        <v>349</v>
      </c>
      <c r="C22" s="76"/>
      <c r="D22" s="590"/>
      <c r="E22" s="590"/>
      <c r="F22" s="590"/>
      <c r="G22" s="83">
        <f>DADOS_CONSULT!W78/100</f>
        <v>1.1345000000000001</v>
      </c>
      <c r="H22" s="644">
        <v>1</v>
      </c>
      <c r="I22" s="647">
        <f t="shared" si="2"/>
        <v>2599.5479200000004</v>
      </c>
    </row>
    <row r="23" spans="2:10">
      <c r="B23" s="515" t="s">
        <v>350</v>
      </c>
      <c r="C23" s="76"/>
      <c r="D23" s="590"/>
      <c r="E23" s="590"/>
      <c r="F23" s="590"/>
      <c r="G23" s="83">
        <f>DADOS_CONSULT!W82/100</f>
        <v>1.0011000000000001</v>
      </c>
      <c r="H23" s="644">
        <v>1</v>
      </c>
      <c r="I23" s="647">
        <f t="shared" si="2"/>
        <v>3207.4643339999998</v>
      </c>
    </row>
    <row r="24" spans="2:10">
      <c r="B24" s="515" t="s">
        <v>334</v>
      </c>
      <c r="C24" s="76"/>
      <c r="D24" s="590"/>
      <c r="E24" s="590"/>
      <c r="F24" s="590"/>
      <c r="G24" s="83">
        <f>DADOS_CONSULT!W76/100</f>
        <v>1.1967000000000001</v>
      </c>
      <c r="H24" s="644">
        <v>1</v>
      </c>
      <c r="I24" s="647">
        <f t="shared" si="2"/>
        <v>2355.5842800000005</v>
      </c>
    </row>
    <row r="25" spans="2:10">
      <c r="B25" s="82" t="s">
        <v>335</v>
      </c>
      <c r="C25" s="76"/>
      <c r="D25" s="590"/>
      <c r="E25" s="590"/>
      <c r="F25" s="590"/>
      <c r="G25" s="83">
        <f>DADOS_CONSULT!W66/100</f>
        <v>1.298</v>
      </c>
      <c r="H25" s="644">
        <v>1</v>
      </c>
      <c r="I25" s="647">
        <f>G25*H25*I15</f>
        <v>4351.0517600000003</v>
      </c>
    </row>
    <row r="26" spans="2:10">
      <c r="B26" s="638" t="s">
        <v>645</v>
      </c>
      <c r="C26" s="76"/>
      <c r="D26" s="590"/>
      <c r="E26" s="590"/>
      <c r="F26" s="590"/>
      <c r="G26" s="83"/>
      <c r="H26" s="644"/>
      <c r="I26" s="646">
        <f>SUM(I19:I25)</f>
        <v>33925.615386999998</v>
      </c>
      <c r="J26" s="686">
        <v>26</v>
      </c>
    </row>
    <row r="27" spans="2:10">
      <c r="B27" s="952"/>
      <c r="C27" s="953"/>
      <c r="D27" s="953"/>
      <c r="E27" s="953"/>
      <c r="F27" s="953"/>
      <c r="G27" s="953"/>
      <c r="H27" s="953"/>
      <c r="I27" s="954"/>
    </row>
    <row r="28" spans="2:10">
      <c r="B28" s="77" t="s">
        <v>671</v>
      </c>
      <c r="C28" s="76"/>
      <c r="D28" s="589"/>
      <c r="E28" s="76"/>
      <c r="F28" s="76"/>
      <c r="G28" s="76"/>
      <c r="H28" s="76"/>
      <c r="I28" s="231"/>
    </row>
    <row r="29" spans="2:10">
      <c r="B29" s="77" t="s">
        <v>184</v>
      </c>
      <c r="C29" s="76"/>
      <c r="D29" s="589"/>
      <c r="E29" s="589" t="s">
        <v>48</v>
      </c>
      <c r="F29" s="589" t="s">
        <v>60</v>
      </c>
      <c r="G29" s="589" t="s">
        <v>638</v>
      </c>
      <c r="H29" s="589" t="s">
        <v>54</v>
      </c>
      <c r="I29" s="591" t="s">
        <v>14</v>
      </c>
    </row>
    <row r="30" spans="2:10">
      <c r="B30" s="65" t="str">
        <f>DADOS!H8</f>
        <v>SEDAN - 71 A 115 CV</v>
      </c>
      <c r="C30" s="76"/>
      <c r="D30" s="590"/>
      <c r="E30" s="590">
        <v>2</v>
      </c>
      <c r="F30" s="590">
        <v>22</v>
      </c>
      <c r="G30" s="92">
        <f>E30*F30*8</f>
        <v>352</v>
      </c>
      <c r="H30" s="644">
        <f>DADOS_CONSULT!AF12</f>
        <v>23.89</v>
      </c>
      <c r="I30" s="675">
        <f>H30*G30</f>
        <v>8409.2800000000007</v>
      </c>
      <c r="J30" s="686">
        <v>27</v>
      </c>
    </row>
    <row r="31" spans="2:10">
      <c r="B31" s="638" t="s">
        <v>646</v>
      </c>
      <c r="C31" s="583"/>
      <c r="D31" s="575"/>
      <c r="E31" s="575"/>
      <c r="F31" s="575"/>
      <c r="G31" s="582"/>
      <c r="H31" s="657"/>
      <c r="I31" s="646">
        <f>SUM(I30)</f>
        <v>8409.2800000000007</v>
      </c>
      <c r="J31" s="686">
        <v>31</v>
      </c>
    </row>
    <row r="32" spans="2:10">
      <c r="B32" s="949"/>
      <c r="C32" s="950"/>
      <c r="D32" s="950"/>
      <c r="E32" s="950"/>
      <c r="F32" s="950"/>
      <c r="G32" s="950"/>
      <c r="H32" s="950"/>
      <c r="I32" s="951"/>
    </row>
    <row r="33" spans="2:11">
      <c r="B33" s="667" t="s">
        <v>676</v>
      </c>
      <c r="C33" s="138"/>
      <c r="D33" s="668"/>
      <c r="E33" s="589" t="s">
        <v>48</v>
      </c>
      <c r="F33" s="589" t="s">
        <v>172</v>
      </c>
      <c r="G33" s="589" t="s">
        <v>49</v>
      </c>
      <c r="H33" s="589" t="s">
        <v>54</v>
      </c>
      <c r="I33" s="591" t="s">
        <v>14</v>
      </c>
    </row>
    <row r="34" spans="2:11">
      <c r="B34" s="669" t="s">
        <v>174</v>
      </c>
      <c r="C34" s="138"/>
      <c r="D34" s="668"/>
      <c r="E34" s="668">
        <v>1</v>
      </c>
      <c r="F34" s="668">
        <v>1</v>
      </c>
      <c r="G34" s="590">
        <f>F34*E34</f>
        <v>1</v>
      </c>
      <c r="H34" s="670">
        <v>1200</v>
      </c>
      <c r="I34" s="671">
        <f>H34*G34</f>
        <v>1200</v>
      </c>
    </row>
    <row r="35" spans="2:11">
      <c r="B35" s="669" t="s">
        <v>175</v>
      </c>
      <c r="C35" s="138"/>
      <c r="D35" s="668"/>
      <c r="E35" s="668">
        <v>1</v>
      </c>
      <c r="F35" s="668">
        <v>1</v>
      </c>
      <c r="G35" s="590">
        <f>F35*E35</f>
        <v>1</v>
      </c>
      <c r="H35" s="670">
        <v>2500</v>
      </c>
      <c r="I35" s="671">
        <f>H35*G35</f>
        <v>2500</v>
      </c>
    </row>
    <row r="36" spans="2:11">
      <c r="B36" s="669" t="s">
        <v>176</v>
      </c>
      <c r="C36" s="138"/>
      <c r="D36" s="668"/>
      <c r="E36" s="668">
        <v>1</v>
      </c>
      <c r="F36" s="668">
        <v>1</v>
      </c>
      <c r="G36" s="590">
        <f>F36*E36</f>
        <v>1</v>
      </c>
      <c r="H36" s="670">
        <v>1000</v>
      </c>
      <c r="I36" s="671">
        <f>H36*G36</f>
        <v>1000</v>
      </c>
    </row>
    <row r="37" spans="2:11">
      <c r="B37" s="638" t="s">
        <v>675</v>
      </c>
      <c r="C37" s="76"/>
      <c r="D37" s="590"/>
      <c r="E37" s="590"/>
      <c r="F37" s="590"/>
      <c r="G37" s="83"/>
      <c r="H37" s="644"/>
      <c r="I37" s="646">
        <f>SUM(I34:I36)</f>
        <v>4700</v>
      </c>
      <c r="J37" s="686">
        <v>37</v>
      </c>
    </row>
    <row r="38" spans="2:11">
      <c r="B38" s="952"/>
      <c r="C38" s="953"/>
      <c r="D38" s="953"/>
      <c r="E38" s="953"/>
      <c r="F38" s="953"/>
      <c r="G38" s="953"/>
      <c r="H38" s="953"/>
      <c r="I38" s="1010"/>
    </row>
    <row r="39" spans="2:11">
      <c r="B39" s="1009" t="s">
        <v>204</v>
      </c>
      <c r="C39" s="901"/>
      <c r="D39" s="902"/>
      <c r="E39" s="668"/>
      <c r="F39" s="668"/>
      <c r="G39" s="672"/>
      <c r="H39" s="672" t="s">
        <v>48</v>
      </c>
      <c r="I39" s="652" t="s">
        <v>166</v>
      </c>
    </row>
    <row r="40" spans="2:11">
      <c r="B40" s="1006"/>
      <c r="C40" s="1007"/>
      <c r="D40" s="1007"/>
      <c r="E40" s="1007"/>
      <c r="F40" s="1007"/>
      <c r="G40" s="1008"/>
      <c r="H40" s="673"/>
      <c r="I40" s="652">
        <f>'MAT. COMUN. SOCIAL'!H19</f>
        <v>8237.5</v>
      </c>
      <c r="J40" s="686">
        <v>40</v>
      </c>
      <c r="K40" s="235"/>
    </row>
    <row r="41" spans="2:11" ht="12" customHeight="1">
      <c r="B41" s="928"/>
      <c r="C41" s="916"/>
      <c r="D41" s="916"/>
      <c r="E41" s="916"/>
      <c r="F41" s="916"/>
      <c r="G41" s="916"/>
      <c r="H41" s="916"/>
      <c r="I41" s="917"/>
    </row>
    <row r="42" spans="2:11" ht="13.5" customHeight="1">
      <c r="B42" s="913" t="s">
        <v>86</v>
      </c>
      <c r="C42" s="914"/>
      <c r="D42" s="914"/>
      <c r="E42" s="914"/>
      <c r="F42" s="914"/>
      <c r="G42" s="914"/>
      <c r="H42" s="914"/>
      <c r="I42" s="233">
        <f>SUM(I16+I26+I31+I37+I40)</f>
        <v>89970.335386999999</v>
      </c>
      <c r="J42" s="686">
        <v>42</v>
      </c>
      <c r="K42" s="235"/>
    </row>
    <row r="43" spans="2:11">
      <c r="B43" s="915"/>
      <c r="C43" s="916"/>
      <c r="D43" s="916"/>
      <c r="E43" s="916"/>
      <c r="F43" s="916"/>
      <c r="G43" s="916"/>
      <c r="H43" s="916"/>
      <c r="I43" s="917"/>
    </row>
    <row r="44" spans="2:11">
      <c r="B44" s="900" t="s">
        <v>38</v>
      </c>
      <c r="C44" s="901"/>
      <c r="D44" s="902"/>
      <c r="E44" s="575"/>
      <c r="F44" s="575"/>
      <c r="G44" s="579"/>
      <c r="H44" s="580"/>
      <c r="I44" s="581"/>
    </row>
    <row r="45" spans="2:11">
      <c r="B45" s="649" t="s">
        <v>649</v>
      </c>
      <c r="C45" s="653"/>
      <c r="D45" s="658"/>
      <c r="E45" s="653"/>
      <c r="F45" s="653"/>
      <c r="G45" s="650"/>
      <c r="H45" s="653"/>
      <c r="I45" s="581"/>
    </row>
    <row r="46" spans="2:11">
      <c r="B46" s="656" t="s">
        <v>639</v>
      </c>
      <c r="C46" s="653"/>
      <c r="D46" s="658"/>
      <c r="E46" s="653"/>
      <c r="F46" s="653"/>
      <c r="G46" s="651">
        <v>0.1</v>
      </c>
      <c r="H46" s="653"/>
      <c r="I46" s="606">
        <f>G46*$I$42</f>
        <v>8997.0335386999996</v>
      </c>
    </row>
    <row r="47" spans="2:11">
      <c r="B47" s="656" t="s">
        <v>640</v>
      </c>
      <c r="C47" s="653"/>
      <c r="D47" s="658"/>
      <c r="E47" s="653"/>
      <c r="F47" s="653"/>
      <c r="G47" s="651">
        <v>2.5000000000000001E-3</v>
      </c>
      <c r="H47" s="653"/>
      <c r="I47" s="606">
        <f t="shared" ref="I47:I49" si="3">G47*$I$42</f>
        <v>224.9258384675</v>
      </c>
    </row>
    <row r="48" spans="2:11">
      <c r="B48" s="656" t="s">
        <v>641</v>
      </c>
      <c r="C48" s="653"/>
      <c r="D48" s="658"/>
      <c r="E48" s="653"/>
      <c r="F48" s="653"/>
      <c r="G48" s="651">
        <v>7.1999999999999998E-3</v>
      </c>
      <c r="H48" s="653"/>
      <c r="I48" s="606">
        <f t="shared" si="3"/>
        <v>647.78641478639997</v>
      </c>
    </row>
    <row r="49" spans="2:19">
      <c r="B49" s="656" t="s">
        <v>642</v>
      </c>
      <c r="C49" s="653"/>
      <c r="D49" s="658"/>
      <c r="E49" s="653"/>
      <c r="F49" s="653"/>
      <c r="G49" s="651">
        <v>1.4E-3</v>
      </c>
      <c r="H49" s="653"/>
      <c r="I49" s="606">
        <f t="shared" si="3"/>
        <v>125.9584695418</v>
      </c>
    </row>
    <row r="50" spans="2:19">
      <c r="B50" s="603" t="s">
        <v>648</v>
      </c>
      <c r="C50" s="653"/>
      <c r="D50" s="658"/>
      <c r="E50" s="653"/>
      <c r="F50" s="653"/>
      <c r="G50" s="651">
        <v>0.1111</v>
      </c>
      <c r="H50" s="653"/>
      <c r="I50" s="157">
        <f>SUM(I46:I49)</f>
        <v>9995.704261495699</v>
      </c>
      <c r="J50" s="686">
        <v>50</v>
      </c>
    </row>
    <row r="51" spans="2:19">
      <c r="B51" s="649"/>
      <c r="C51" s="653"/>
      <c r="D51" s="658"/>
      <c r="E51" s="653"/>
      <c r="F51" s="653"/>
      <c r="G51" s="653"/>
      <c r="H51" s="653"/>
      <c r="I51" s="581"/>
    </row>
    <row r="52" spans="2:19">
      <c r="B52" s="649" t="s">
        <v>654</v>
      </c>
      <c r="C52" s="653"/>
      <c r="D52" s="658"/>
      <c r="E52" s="653"/>
      <c r="F52" s="653"/>
      <c r="G52" s="653"/>
      <c r="H52" s="653"/>
      <c r="I52" s="581"/>
    </row>
    <row r="53" spans="2:19">
      <c r="B53" s="649" t="s">
        <v>673</v>
      </c>
      <c r="C53" s="653"/>
      <c r="D53" s="658"/>
      <c r="E53" s="653"/>
      <c r="F53" s="653"/>
      <c r="G53" s="651">
        <v>0.12</v>
      </c>
      <c r="H53" s="653"/>
      <c r="I53" s="604">
        <f>G53*I42</f>
        <v>10796.440246439999</v>
      </c>
      <c r="J53" s="686">
        <v>53</v>
      </c>
    </row>
    <row r="54" spans="2:19">
      <c r="B54" s="649"/>
      <c r="C54" s="653"/>
      <c r="D54" s="658"/>
      <c r="E54" s="653"/>
      <c r="F54" s="653"/>
      <c r="G54" s="653"/>
      <c r="H54" s="653"/>
      <c r="I54" s="581"/>
    </row>
    <row r="55" spans="2:19">
      <c r="B55" s="649" t="s">
        <v>655</v>
      </c>
      <c r="C55" s="653"/>
      <c r="D55" s="658"/>
      <c r="E55" s="653"/>
      <c r="F55" s="653"/>
      <c r="G55" s="651"/>
      <c r="H55" s="653"/>
      <c r="I55" s="581"/>
    </row>
    <row r="56" spans="2:19">
      <c r="B56" s="656" t="s">
        <v>656</v>
      </c>
      <c r="C56" s="653"/>
      <c r="D56" s="658"/>
      <c r="E56" s="653"/>
      <c r="F56" s="653"/>
      <c r="G56" s="651">
        <v>2.3699999999999999E-2</v>
      </c>
      <c r="H56" s="653"/>
      <c r="I56" s="606">
        <f>G56*$I$42</f>
        <v>2132.2969486718998</v>
      </c>
    </row>
    <row r="57" spans="2:19">
      <c r="B57" s="656" t="s">
        <v>657</v>
      </c>
      <c r="C57" s="653"/>
      <c r="D57" s="658"/>
      <c r="E57" s="653"/>
      <c r="F57" s="653"/>
      <c r="G57" s="651">
        <v>0.1091</v>
      </c>
      <c r="H57" s="653"/>
      <c r="I57" s="606">
        <f t="shared" ref="I57:I58" si="4">G57*$I$42</f>
        <v>9815.7635907217009</v>
      </c>
    </row>
    <row r="58" spans="2:19">
      <c r="B58" s="656" t="s">
        <v>658</v>
      </c>
      <c r="C58" s="653"/>
      <c r="D58" s="658"/>
      <c r="E58" s="653"/>
      <c r="F58" s="653"/>
      <c r="G58" s="651">
        <v>7.1800000000000003E-2</v>
      </c>
      <c r="H58" s="653"/>
      <c r="I58" s="606">
        <f t="shared" si="4"/>
        <v>6459.8700807865998</v>
      </c>
    </row>
    <row r="59" spans="2:19">
      <c r="B59" s="649"/>
      <c r="C59" s="653"/>
      <c r="D59" s="658"/>
      <c r="E59" s="653"/>
      <c r="F59" s="653"/>
      <c r="G59" s="650"/>
      <c r="H59" s="653"/>
      <c r="I59" s="157">
        <f>SUM(I56:I58)</f>
        <v>18407.930620180199</v>
      </c>
      <c r="J59" s="686">
        <v>59</v>
      </c>
    </row>
    <row r="60" spans="2:19">
      <c r="B60" s="925"/>
      <c r="C60" s="926"/>
      <c r="D60" s="926"/>
      <c r="E60" s="926"/>
      <c r="F60" s="926"/>
      <c r="G60" s="926"/>
      <c r="H60" s="926"/>
      <c r="I60" s="927"/>
    </row>
    <row r="61" spans="2:19">
      <c r="B61" s="913" t="s">
        <v>202</v>
      </c>
      <c r="C61" s="914"/>
      <c r="D61" s="914"/>
      <c r="E61" s="914"/>
      <c r="F61" s="914"/>
      <c r="G61" s="914"/>
      <c r="H61" s="914"/>
      <c r="I61" s="233">
        <f>I50+I53+I59</f>
        <v>39200.075128115903</v>
      </c>
      <c r="J61" s="686">
        <v>61</v>
      </c>
      <c r="M61" s="235"/>
    </row>
    <row r="62" spans="2:19" ht="13.5" customHeight="1">
      <c r="B62" s="918"/>
      <c r="C62" s="919"/>
      <c r="D62" s="919"/>
      <c r="E62" s="919"/>
      <c r="F62" s="919"/>
      <c r="G62" s="919"/>
      <c r="H62" s="919"/>
      <c r="I62" s="920"/>
    </row>
    <row r="63" spans="2:19" customFormat="1" ht="13.5" thickBot="1">
      <c r="B63" s="921" t="s">
        <v>203</v>
      </c>
      <c r="C63" s="922"/>
      <c r="D63" s="922"/>
      <c r="E63" s="922"/>
      <c r="F63" s="922"/>
      <c r="G63" s="922"/>
      <c r="H63" s="922"/>
      <c r="I63" s="85">
        <f>SUM(I42+I61)</f>
        <v>129170.4105151159</v>
      </c>
    </row>
    <row r="64" spans="2:19" ht="13.5" thickBot="1">
      <c r="S64" s="9" t="s">
        <v>188</v>
      </c>
    </row>
    <row r="65" spans="2:9">
      <c r="B65" s="1017" t="s">
        <v>167</v>
      </c>
      <c r="C65" s="971"/>
      <c r="D65" s="971"/>
      <c r="E65" s="971"/>
      <c r="F65" s="971"/>
      <c r="G65" s="971"/>
      <c r="H65" s="971"/>
      <c r="I65" s="972"/>
    </row>
    <row r="66" spans="2:9" ht="25.5" customHeight="1">
      <c r="B66" s="1018" t="s">
        <v>398</v>
      </c>
      <c r="C66" s="974"/>
      <c r="D66" s="974"/>
      <c r="E66" s="974"/>
      <c r="F66" s="974"/>
      <c r="G66" s="974"/>
      <c r="H66" s="974"/>
      <c r="I66" s="975"/>
    </row>
    <row r="67" spans="2:9" ht="12" customHeight="1">
      <c r="B67" s="1014" t="s">
        <v>690</v>
      </c>
      <c r="C67" s="1015"/>
      <c r="D67" s="1015"/>
      <c r="E67" s="1015"/>
      <c r="F67" s="1015"/>
      <c r="G67" s="1015"/>
      <c r="H67" s="1015"/>
      <c r="I67" s="1016"/>
    </row>
    <row r="68" spans="2:9" ht="13.5" customHeight="1" thickBot="1">
      <c r="B68" s="1011" t="s">
        <v>185</v>
      </c>
      <c r="C68" s="1012"/>
      <c r="D68" s="1012"/>
      <c r="E68" s="1012"/>
      <c r="F68" s="1012"/>
      <c r="G68" s="1012"/>
      <c r="H68" s="1012"/>
      <c r="I68" s="1013"/>
    </row>
    <row r="70" spans="2:9" ht="12.75" customHeight="1"/>
    <row r="71" spans="2:9" ht="12.75" customHeight="1"/>
    <row r="72" spans="2:9" ht="13.5" customHeight="1"/>
    <row r="73" spans="2:9" ht="13.5" customHeight="1"/>
  </sheetData>
  <mergeCells count="27">
    <mergeCell ref="B68:I68"/>
    <mergeCell ref="B67:I67"/>
    <mergeCell ref="B65:I65"/>
    <mergeCell ref="B41:I41"/>
    <mergeCell ref="B66:I66"/>
    <mergeCell ref="B44:D44"/>
    <mergeCell ref="B43:I43"/>
    <mergeCell ref="B42:H42"/>
    <mergeCell ref="B60:I60"/>
    <mergeCell ref="B61:H61"/>
    <mergeCell ref="B62:I62"/>
    <mergeCell ref="B63:H63"/>
    <mergeCell ref="B1:I1"/>
    <mergeCell ref="C4:I4"/>
    <mergeCell ref="C5:I5"/>
    <mergeCell ref="B7:C7"/>
    <mergeCell ref="B2:I2"/>
    <mergeCell ref="B3:I3"/>
    <mergeCell ref="H6:I6"/>
    <mergeCell ref="B6:C6"/>
    <mergeCell ref="E6:G6"/>
    <mergeCell ref="B27:I27"/>
    <mergeCell ref="B40:G40"/>
    <mergeCell ref="B32:I32"/>
    <mergeCell ref="B39:D39"/>
    <mergeCell ref="B17:I17"/>
    <mergeCell ref="B38:I38"/>
  </mergeCells>
  <phoneticPr fontId="7" type="noConversion"/>
  <pageMargins left="0.78740157499999996" right="0.78740157499999996" top="0.984251969" bottom="0.984251969" header="0.49212598499999999" footer="0.49212598499999999"/>
  <pageSetup paperSize="9" scale="8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topLeftCell="B1" zoomScaleNormal="100" workbookViewId="0">
      <selection activeCell="K24" sqref="K24"/>
    </sheetView>
  </sheetViews>
  <sheetFormatPr defaultRowHeight="12.75"/>
  <cols>
    <col min="1" max="1" width="3.7109375" style="9" customWidth="1"/>
    <col min="2" max="2" width="32.140625" style="9" customWidth="1"/>
    <col min="3" max="3" width="6.85546875" style="9" customWidth="1"/>
    <col min="4" max="4" width="11.140625" style="9" customWidth="1"/>
    <col min="5" max="5" width="13.85546875" style="9" customWidth="1"/>
    <col min="6" max="6" width="15.7109375" style="9" customWidth="1"/>
    <col min="7" max="7" width="12.85546875" style="9" customWidth="1"/>
    <col min="8" max="8" width="14.5703125" style="9" customWidth="1"/>
    <col min="9" max="16384" width="9.140625" style="9"/>
  </cols>
  <sheetData>
    <row r="1" spans="2:8" ht="13.5" thickBot="1"/>
    <row r="2" spans="2:8" ht="17.25" customHeight="1" thickBot="1">
      <c r="B2" s="1025" t="str">
        <f>DADOS!D27</f>
        <v>GESTÃO AMBIENTAL - BR-158/MT</v>
      </c>
      <c r="C2" s="1026"/>
      <c r="D2" s="1026"/>
      <c r="E2" s="1026"/>
      <c r="F2" s="1026"/>
      <c r="G2" s="1026"/>
      <c r="H2" s="1027"/>
    </row>
    <row r="3" spans="2:8" ht="18.75" customHeight="1" thickBot="1">
      <c r="B3" s="1028" t="s">
        <v>377</v>
      </c>
      <c r="C3" s="1029"/>
      <c r="D3" s="1029"/>
      <c r="E3" s="1029"/>
      <c r="F3" s="1029"/>
      <c r="G3" s="1029"/>
      <c r="H3" s="1030"/>
    </row>
    <row r="4" spans="2:8" ht="19.5" customHeight="1" thickBot="1">
      <c r="B4" s="1031" t="s">
        <v>378</v>
      </c>
      <c r="C4" s="1032"/>
      <c r="D4" s="1032"/>
      <c r="E4" s="1032"/>
      <c r="F4" s="1032"/>
      <c r="G4" s="1032"/>
      <c r="H4" s="1033"/>
    </row>
    <row r="5" spans="2:8" ht="21" customHeight="1">
      <c r="B5" s="237"/>
      <c r="C5" s="252"/>
      <c r="D5" s="238" t="s">
        <v>48</v>
      </c>
      <c r="E5" s="238" t="s">
        <v>50</v>
      </c>
      <c r="F5" s="253" t="s">
        <v>166</v>
      </c>
      <c r="G5" s="254" t="s">
        <v>205</v>
      </c>
      <c r="H5" s="253" t="s">
        <v>14</v>
      </c>
    </row>
    <row r="6" spans="2:8">
      <c r="B6" s="106" t="s">
        <v>112</v>
      </c>
      <c r="C6" s="75"/>
      <c r="D6" s="90">
        <v>100</v>
      </c>
      <c r="E6" s="130">
        <v>7.5</v>
      </c>
      <c r="F6" s="255">
        <f>E6*D6</f>
        <v>750</v>
      </c>
      <c r="G6" s="677">
        <v>4</v>
      </c>
      <c r="H6" s="255">
        <f>F6/G6</f>
        <v>187.5</v>
      </c>
    </row>
    <row r="7" spans="2:8">
      <c r="B7" s="106" t="s">
        <v>177</v>
      </c>
      <c r="C7" s="75"/>
      <c r="D7" s="90">
        <v>100</v>
      </c>
      <c r="E7" s="130">
        <v>3.4</v>
      </c>
      <c r="F7" s="255">
        <f t="shared" ref="F7:F18" si="0">E7*D7</f>
        <v>340</v>
      </c>
      <c r="G7" s="677">
        <v>4</v>
      </c>
      <c r="H7" s="255">
        <f t="shared" ref="H7:H18" si="1">F7/G7</f>
        <v>85</v>
      </c>
    </row>
    <row r="8" spans="2:8">
      <c r="B8" s="106" t="s">
        <v>84</v>
      </c>
      <c r="C8" s="75"/>
      <c r="D8" s="90">
        <v>125</v>
      </c>
      <c r="E8" s="130">
        <v>45</v>
      </c>
      <c r="F8" s="255">
        <f t="shared" si="0"/>
        <v>5625</v>
      </c>
      <c r="G8" s="677">
        <v>4</v>
      </c>
      <c r="H8" s="255">
        <f t="shared" si="1"/>
        <v>1406.25</v>
      </c>
    </row>
    <row r="9" spans="2:8">
      <c r="B9" s="106" t="s">
        <v>85</v>
      </c>
      <c r="C9" s="75"/>
      <c r="D9" s="90">
        <v>150</v>
      </c>
      <c r="E9" s="130">
        <v>4</v>
      </c>
      <c r="F9" s="255">
        <f t="shared" si="0"/>
        <v>600</v>
      </c>
      <c r="G9" s="677">
        <v>4</v>
      </c>
      <c r="H9" s="255">
        <f t="shared" si="1"/>
        <v>150</v>
      </c>
    </row>
    <row r="10" spans="2:8">
      <c r="B10" s="106" t="s">
        <v>113</v>
      </c>
      <c r="C10" s="75"/>
      <c r="D10" s="90">
        <v>200</v>
      </c>
      <c r="E10" s="130">
        <v>25</v>
      </c>
      <c r="F10" s="255">
        <f t="shared" si="0"/>
        <v>5000</v>
      </c>
      <c r="G10" s="677">
        <v>4</v>
      </c>
      <c r="H10" s="255">
        <f t="shared" si="1"/>
        <v>1250</v>
      </c>
    </row>
    <row r="11" spans="2:8">
      <c r="B11" s="106" t="s">
        <v>114</v>
      </c>
      <c r="C11" s="75"/>
      <c r="D11" s="90">
        <v>300</v>
      </c>
      <c r="E11" s="130">
        <v>2</v>
      </c>
      <c r="F11" s="255">
        <f t="shared" si="0"/>
        <v>600</v>
      </c>
      <c r="G11" s="677">
        <v>4</v>
      </c>
      <c r="H11" s="255">
        <f t="shared" si="1"/>
        <v>150</v>
      </c>
    </row>
    <row r="12" spans="2:8">
      <c r="B12" s="106" t="s">
        <v>115</v>
      </c>
      <c r="C12" s="75"/>
      <c r="D12" s="90">
        <v>100</v>
      </c>
      <c r="E12" s="130">
        <v>4</v>
      </c>
      <c r="F12" s="255">
        <f t="shared" si="0"/>
        <v>400</v>
      </c>
      <c r="G12" s="677">
        <v>4</v>
      </c>
      <c r="H12" s="255">
        <f t="shared" si="1"/>
        <v>100</v>
      </c>
    </row>
    <row r="13" spans="2:8">
      <c r="B13" s="106" t="s">
        <v>116</v>
      </c>
      <c r="C13" s="75"/>
      <c r="D13" s="90">
        <v>1</v>
      </c>
      <c r="E13" s="130">
        <v>850</v>
      </c>
      <c r="F13" s="255">
        <f t="shared" si="0"/>
        <v>850</v>
      </c>
      <c r="G13" s="677">
        <v>4</v>
      </c>
      <c r="H13" s="255">
        <f>F13/G13</f>
        <v>212.5</v>
      </c>
    </row>
    <row r="14" spans="2:8">
      <c r="B14" s="106" t="s">
        <v>117</v>
      </c>
      <c r="C14" s="75"/>
      <c r="D14" s="90">
        <v>300</v>
      </c>
      <c r="E14" s="130">
        <v>2</v>
      </c>
      <c r="F14" s="255">
        <f t="shared" si="0"/>
        <v>600</v>
      </c>
      <c r="G14" s="677">
        <v>4</v>
      </c>
      <c r="H14" s="255">
        <f t="shared" si="1"/>
        <v>150</v>
      </c>
    </row>
    <row r="15" spans="2:8">
      <c r="B15" s="71" t="s">
        <v>110</v>
      </c>
      <c r="C15" s="75"/>
      <c r="D15" s="90">
        <v>300</v>
      </c>
      <c r="E15" s="130">
        <v>4</v>
      </c>
      <c r="F15" s="255">
        <f t="shared" si="0"/>
        <v>1200</v>
      </c>
      <c r="G15" s="677">
        <v>4</v>
      </c>
      <c r="H15" s="255">
        <f t="shared" si="1"/>
        <v>300</v>
      </c>
    </row>
    <row r="16" spans="2:8">
      <c r="B16" s="71" t="s">
        <v>109</v>
      </c>
      <c r="C16" s="75"/>
      <c r="D16" s="90">
        <v>200</v>
      </c>
      <c r="E16" s="130">
        <v>25</v>
      </c>
      <c r="F16" s="255">
        <f t="shared" si="0"/>
        <v>5000</v>
      </c>
      <c r="G16" s="677">
        <v>4</v>
      </c>
      <c r="H16" s="255">
        <f t="shared" si="1"/>
        <v>1250</v>
      </c>
    </row>
    <row r="17" spans="2:10">
      <c r="B17" s="71" t="s">
        <v>111</v>
      </c>
      <c r="C17" s="75"/>
      <c r="D17" s="90">
        <v>5</v>
      </c>
      <c r="E17" s="130">
        <v>397</v>
      </c>
      <c r="F17" s="255">
        <f t="shared" si="0"/>
        <v>1985</v>
      </c>
      <c r="G17" s="677">
        <v>4</v>
      </c>
      <c r="H17" s="255">
        <f t="shared" si="1"/>
        <v>496.25</v>
      </c>
    </row>
    <row r="18" spans="2:10" ht="13.5" thickBot="1">
      <c r="B18" s="256" t="s">
        <v>168</v>
      </c>
      <c r="C18" s="257"/>
      <c r="D18" s="90">
        <v>1</v>
      </c>
      <c r="E18" s="258">
        <v>10000</v>
      </c>
      <c r="F18" s="259">
        <f t="shared" si="0"/>
        <v>10000</v>
      </c>
      <c r="G18" s="677">
        <v>4</v>
      </c>
      <c r="H18" s="259">
        <f t="shared" si="1"/>
        <v>2500</v>
      </c>
    </row>
    <row r="19" spans="2:10" ht="13.5" thickBot="1">
      <c r="B19" s="239" t="s">
        <v>195</v>
      </c>
      <c r="C19" s="260"/>
      <c r="D19" s="261"/>
      <c r="E19" s="260"/>
      <c r="F19" s="262">
        <f>SUM(F6:F18)</f>
        <v>32950</v>
      </c>
      <c r="G19" s="260"/>
      <c r="H19" s="263">
        <f>SUM(H6:H18)</f>
        <v>8237.5</v>
      </c>
      <c r="J19" s="9" t="s">
        <v>188</v>
      </c>
    </row>
    <row r="21" spans="2:10" ht="13.5" thickBot="1"/>
    <row r="22" spans="2:10" ht="14.25" customHeight="1">
      <c r="B22" s="1034" t="s">
        <v>167</v>
      </c>
      <c r="C22" s="1035"/>
      <c r="D22" s="1035"/>
      <c r="E22" s="1035"/>
      <c r="F22" s="1035"/>
      <c r="G22" s="1035"/>
      <c r="H22" s="1036"/>
    </row>
    <row r="23" spans="2:10" ht="14.25" customHeight="1">
      <c r="B23" s="1019" t="s">
        <v>243</v>
      </c>
      <c r="C23" s="1020"/>
      <c r="D23" s="1020"/>
      <c r="E23" s="1020"/>
      <c r="F23" s="1020"/>
      <c r="G23" s="1020"/>
      <c r="H23" s="1021"/>
    </row>
    <row r="24" spans="2:10" ht="14.25" customHeight="1">
      <c r="B24" s="1019" t="s">
        <v>409</v>
      </c>
      <c r="C24" s="1020"/>
      <c r="D24" s="1020"/>
      <c r="E24" s="1020"/>
      <c r="F24" s="1020"/>
      <c r="G24" s="1020"/>
      <c r="H24" s="1021"/>
    </row>
    <row r="25" spans="2:10" ht="14.25" customHeight="1" thickBot="1">
      <c r="B25" s="1022" t="s">
        <v>186</v>
      </c>
      <c r="C25" s="1023"/>
      <c r="D25" s="1023"/>
      <c r="E25" s="1023"/>
      <c r="F25" s="1023"/>
      <c r="G25" s="1023"/>
      <c r="H25" s="1024"/>
    </row>
    <row r="26" spans="2:10" ht="13.5" customHeight="1"/>
  </sheetData>
  <mergeCells count="7">
    <mergeCell ref="B24:H24"/>
    <mergeCell ref="B25:H25"/>
    <mergeCell ref="B2:H2"/>
    <mergeCell ref="B3:H3"/>
    <mergeCell ref="B4:H4"/>
    <mergeCell ref="B22:H22"/>
    <mergeCell ref="B23:H23"/>
  </mergeCells>
  <pageMargins left="0.511811024" right="0.511811024" top="0.78740157499999996" bottom="0.78740157499999996" header="0.31496062000000002" footer="0.31496062000000002"/>
  <pageSetup paperSize="9" scale="85" orientation="portrait" r:id="rId1"/>
  <colBreaks count="1" manualBreakCount="1">
    <brk id="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3"/>
  <sheetViews>
    <sheetView zoomScaleNormal="100" workbookViewId="0">
      <selection activeCell="N51" sqref="N51"/>
    </sheetView>
  </sheetViews>
  <sheetFormatPr defaultRowHeight="12.75"/>
  <cols>
    <col min="1" max="1" width="4.85546875" style="9" customWidth="1"/>
    <col min="2" max="2" width="43.28515625" style="9" customWidth="1"/>
    <col min="3" max="3" width="9.140625" style="9"/>
    <col min="4" max="4" width="10" style="9" customWidth="1"/>
    <col min="5" max="7" width="9.140625" style="9"/>
    <col min="8" max="8" width="13.5703125" style="9" customWidth="1"/>
    <col min="9" max="9" width="16.5703125" style="9" customWidth="1"/>
    <col min="10" max="16384" width="9.140625" style="9"/>
  </cols>
  <sheetData>
    <row r="1" spans="2:14" ht="13.5" thickBot="1">
      <c r="B1" s="898"/>
      <c r="C1" s="898"/>
      <c r="D1" s="898"/>
      <c r="E1" s="898"/>
      <c r="F1" s="898"/>
      <c r="G1" s="898"/>
      <c r="H1" s="898"/>
      <c r="I1" s="898"/>
    </row>
    <row r="2" spans="2:14" ht="20.25" customHeight="1">
      <c r="B2" s="777" t="str">
        <f>DADOS!D27</f>
        <v>GESTÃO AMBIENTAL - BR-158/MT</v>
      </c>
      <c r="C2" s="778"/>
      <c r="D2" s="778"/>
      <c r="E2" s="778"/>
      <c r="F2" s="778"/>
      <c r="G2" s="778"/>
      <c r="H2" s="778"/>
      <c r="I2" s="779"/>
    </row>
    <row r="3" spans="2:14" ht="27.75" customHeight="1">
      <c r="B3" s="881" t="s">
        <v>391</v>
      </c>
      <c r="C3" s="892"/>
      <c r="D3" s="892"/>
      <c r="E3" s="892"/>
      <c r="F3" s="892"/>
      <c r="G3" s="892"/>
      <c r="H3" s="892"/>
      <c r="I3" s="893"/>
    </row>
    <row r="4" spans="2:14">
      <c r="B4" s="147">
        <f>DADOS!E30</f>
        <v>43831</v>
      </c>
      <c r="C4" s="894"/>
      <c r="D4" s="895"/>
      <c r="E4" s="895"/>
      <c r="F4" s="895"/>
      <c r="G4" s="895"/>
      <c r="H4" s="895"/>
      <c r="I4" s="896"/>
    </row>
    <row r="5" spans="2:14">
      <c r="B5" s="94" t="s">
        <v>37</v>
      </c>
      <c r="C5" s="897"/>
      <c r="D5" s="895"/>
      <c r="E5" s="895"/>
      <c r="F5" s="895"/>
      <c r="G5" s="895"/>
      <c r="H5" s="895"/>
      <c r="I5" s="896"/>
    </row>
    <row r="6" spans="2:14" ht="15" customHeight="1">
      <c r="B6" s="958" t="s">
        <v>51</v>
      </c>
      <c r="C6" s="959"/>
      <c r="D6" s="78"/>
      <c r="E6" s="773" t="s">
        <v>30</v>
      </c>
      <c r="F6" s="773"/>
      <c r="G6" s="774"/>
      <c r="H6" s="773" t="s">
        <v>52</v>
      </c>
      <c r="I6" s="960"/>
    </row>
    <row r="7" spans="2:14" ht="12.75" customHeight="1">
      <c r="B7" s="958" t="s">
        <v>670</v>
      </c>
      <c r="C7" s="959"/>
      <c r="D7" s="76"/>
      <c r="E7" s="76"/>
      <c r="F7" s="76"/>
      <c r="G7" s="76"/>
      <c r="H7" s="79"/>
      <c r="I7" s="80"/>
    </row>
    <row r="8" spans="2:14">
      <c r="B8" s="77" t="s">
        <v>55</v>
      </c>
      <c r="C8" s="78" t="s">
        <v>659</v>
      </c>
      <c r="D8" s="303" t="s">
        <v>46</v>
      </c>
      <c r="E8" s="79" t="s">
        <v>57</v>
      </c>
      <c r="F8" s="303" t="s">
        <v>240</v>
      </c>
      <c r="G8" s="79" t="s">
        <v>49</v>
      </c>
      <c r="H8" s="79" t="s">
        <v>54</v>
      </c>
      <c r="I8" s="80" t="s">
        <v>14</v>
      </c>
    </row>
    <row r="9" spans="2:14" ht="15.75" customHeight="1">
      <c r="B9" s="97" t="s">
        <v>351</v>
      </c>
      <c r="C9" s="318" t="str">
        <f>DADOS_CONSULT!A27</f>
        <v>P8044</v>
      </c>
      <c r="D9" s="81" t="s">
        <v>237</v>
      </c>
      <c r="E9" s="72">
        <v>1</v>
      </c>
      <c r="F9" s="72">
        <v>264</v>
      </c>
      <c r="G9" s="72">
        <f t="shared" ref="G9:G17" si="0">F9*E9</f>
        <v>264</v>
      </c>
      <c r="H9" s="91">
        <f>DADOS_CONSULT!D27/22</f>
        <v>723.59818181818184</v>
      </c>
      <c r="I9" s="96">
        <f t="shared" ref="I9:I17" si="1">H9*G9</f>
        <v>191029.92</v>
      </c>
    </row>
    <row r="10" spans="2:14">
      <c r="B10" s="518" t="s">
        <v>352</v>
      </c>
      <c r="C10" s="86" t="str">
        <f>DADOS_CONSULT!A72</f>
        <v>P8125</v>
      </c>
      <c r="D10" s="418" t="s">
        <v>237</v>
      </c>
      <c r="E10" s="86">
        <v>2</v>
      </c>
      <c r="F10" s="695">
        <v>264</v>
      </c>
      <c r="G10" s="86">
        <f t="shared" si="0"/>
        <v>528</v>
      </c>
      <c r="H10" s="64">
        <f>DADOS_CONSULT!D72/22</f>
        <v>288.89954545454543</v>
      </c>
      <c r="I10" s="142">
        <f t="shared" si="1"/>
        <v>152538.96</v>
      </c>
    </row>
    <row r="11" spans="2:14" ht="25.5">
      <c r="B11" s="518" t="s">
        <v>379</v>
      </c>
      <c r="C11" s="86" t="str">
        <f>DADOS_CONSULT!A70</f>
        <v>P8123</v>
      </c>
      <c r="D11" s="418" t="s">
        <v>237</v>
      </c>
      <c r="E11" s="86">
        <v>4</v>
      </c>
      <c r="F11" s="695">
        <v>264</v>
      </c>
      <c r="G11" s="86">
        <f t="shared" si="0"/>
        <v>1056</v>
      </c>
      <c r="H11" s="64">
        <f>DADOS_CONSULT!D70/22</f>
        <v>135.58500000000001</v>
      </c>
      <c r="I11" s="142">
        <f t="shared" si="1"/>
        <v>143177.76</v>
      </c>
    </row>
    <row r="12" spans="2:14" ht="15.75" customHeight="1">
      <c r="B12" s="97" t="s">
        <v>353</v>
      </c>
      <c r="C12" s="517" t="str">
        <f>DADOS_CONSULT!A56</f>
        <v>P8088</v>
      </c>
      <c r="D12" s="418" t="s">
        <v>237</v>
      </c>
      <c r="E12" s="86">
        <v>1</v>
      </c>
      <c r="F12" s="695">
        <v>264</v>
      </c>
      <c r="G12" s="86">
        <f t="shared" si="0"/>
        <v>264</v>
      </c>
      <c r="H12" s="64">
        <f>DADOS_CONSULT!D56/22</f>
        <v>352.25136363636364</v>
      </c>
      <c r="I12" s="142">
        <f t="shared" si="1"/>
        <v>92994.36</v>
      </c>
    </row>
    <row r="13" spans="2:14" ht="15.75" customHeight="1">
      <c r="B13" s="97" t="s">
        <v>353</v>
      </c>
      <c r="C13" s="517" t="str">
        <f>DADOS_CONSULT!A54</f>
        <v>P8086</v>
      </c>
      <c r="D13" s="418" t="s">
        <v>237</v>
      </c>
      <c r="E13" s="86">
        <v>1</v>
      </c>
      <c r="F13" s="695">
        <v>264</v>
      </c>
      <c r="G13" s="86">
        <f t="shared" si="0"/>
        <v>264</v>
      </c>
      <c r="H13" s="64">
        <f>DADOS_CONSULT!D54/22</f>
        <v>146.02681818181819</v>
      </c>
      <c r="I13" s="142">
        <f t="shared" si="1"/>
        <v>38551.08</v>
      </c>
    </row>
    <row r="14" spans="2:14" ht="15.75" customHeight="1">
      <c r="B14" s="97" t="s">
        <v>354</v>
      </c>
      <c r="C14" s="555" t="str">
        <f>DADOS_CONSULT!A56</f>
        <v>P8088</v>
      </c>
      <c r="D14" s="418" t="s">
        <v>237</v>
      </c>
      <c r="E14" s="86">
        <v>1</v>
      </c>
      <c r="F14" s="695">
        <v>264</v>
      </c>
      <c r="G14" s="86">
        <f t="shared" si="0"/>
        <v>264</v>
      </c>
      <c r="H14" s="64">
        <f>DADOS_CONSULT!D56/22</f>
        <v>352.25136363636364</v>
      </c>
      <c r="I14" s="142">
        <f t="shared" si="1"/>
        <v>92994.36</v>
      </c>
    </row>
    <row r="15" spans="2:14" ht="15.75" customHeight="1">
      <c r="B15" s="97" t="s">
        <v>354</v>
      </c>
      <c r="C15" s="517" t="str">
        <f>DADOS_CONSULT!A54</f>
        <v>P8086</v>
      </c>
      <c r="D15" s="418" t="s">
        <v>237</v>
      </c>
      <c r="E15" s="86">
        <v>1</v>
      </c>
      <c r="F15" s="695">
        <v>264</v>
      </c>
      <c r="G15" s="86">
        <f t="shared" si="0"/>
        <v>264</v>
      </c>
      <c r="H15" s="64">
        <f>DADOS_CONSULT!D54/22</f>
        <v>146.02681818181819</v>
      </c>
      <c r="I15" s="142">
        <f t="shared" si="1"/>
        <v>38551.08</v>
      </c>
      <c r="N15" s="9">
        <f>22*12</f>
        <v>264</v>
      </c>
    </row>
    <row r="16" spans="2:14" ht="15.75" customHeight="1">
      <c r="B16" s="97" t="s">
        <v>355</v>
      </c>
      <c r="C16" s="517" t="str">
        <f>DADOS_CONSULT!A70</f>
        <v>P8123</v>
      </c>
      <c r="D16" s="418" t="s">
        <v>237</v>
      </c>
      <c r="E16" s="86">
        <v>1</v>
      </c>
      <c r="F16" s="695">
        <v>264</v>
      </c>
      <c r="G16" s="86">
        <f t="shared" si="0"/>
        <v>264</v>
      </c>
      <c r="H16" s="64">
        <f>DADOS_CONSULT!D70/22</f>
        <v>135.58500000000001</v>
      </c>
      <c r="I16" s="142">
        <f t="shared" si="1"/>
        <v>35794.44</v>
      </c>
    </row>
    <row r="17" spans="2:10" ht="14.25" customHeight="1">
      <c r="B17" s="98" t="s">
        <v>82</v>
      </c>
      <c r="C17" s="73" t="str">
        <f>DADOS_CONSULT!A16</f>
        <v>P8025</v>
      </c>
      <c r="D17" s="81" t="s">
        <v>237</v>
      </c>
      <c r="E17" s="73">
        <v>2</v>
      </c>
      <c r="F17" s="695">
        <v>264</v>
      </c>
      <c r="G17" s="73">
        <f t="shared" si="0"/>
        <v>528</v>
      </c>
      <c r="H17" s="93">
        <f>DADOS_CONSULT!D16/22</f>
        <v>54.499545454545455</v>
      </c>
      <c r="I17" s="240">
        <f t="shared" si="1"/>
        <v>28775.760000000002</v>
      </c>
    </row>
    <row r="18" spans="2:10" ht="14.25" customHeight="1">
      <c r="B18" s="637" t="s">
        <v>644</v>
      </c>
      <c r="C18" s="73"/>
      <c r="D18" s="81"/>
      <c r="E18" s="73"/>
      <c r="F18" s="73"/>
      <c r="G18" s="73"/>
      <c r="H18" s="93"/>
      <c r="I18" s="99">
        <f>SUM(I9:I17)</f>
        <v>814407.72</v>
      </c>
      <c r="J18" s="686">
        <v>18</v>
      </c>
    </row>
    <row r="19" spans="2:10" ht="14.25" customHeight="1">
      <c r="B19" s="1043"/>
      <c r="C19" s="862"/>
      <c r="D19" s="862"/>
      <c r="E19" s="862"/>
      <c r="F19" s="862"/>
      <c r="G19" s="862"/>
      <c r="H19" s="862"/>
      <c r="I19" s="791"/>
    </row>
    <row r="20" spans="2:10">
      <c r="B20" s="77" t="s">
        <v>651</v>
      </c>
      <c r="C20" s="583"/>
      <c r="D20" s="575"/>
      <c r="E20" s="575"/>
      <c r="F20" s="575"/>
      <c r="G20" s="582"/>
      <c r="H20" s="584"/>
      <c r="I20" s="585"/>
    </row>
    <row r="21" spans="2:10">
      <c r="B21" s="97" t="s">
        <v>351</v>
      </c>
      <c r="C21" s="583"/>
      <c r="D21" s="575"/>
      <c r="E21" s="575"/>
      <c r="F21" s="590"/>
      <c r="G21" s="83">
        <f>DADOS_CONSULT!$W$27/100</f>
        <v>0.84819999999999995</v>
      </c>
      <c r="H21" s="644"/>
      <c r="I21" s="647">
        <f>G21*I9</f>
        <v>162031.578144</v>
      </c>
    </row>
    <row r="22" spans="2:10">
      <c r="B22" s="518" t="s">
        <v>352</v>
      </c>
      <c r="C22" s="583"/>
      <c r="D22" s="575"/>
      <c r="E22" s="575"/>
      <c r="F22" s="590"/>
      <c r="G22" s="83">
        <f>DADOS_CONSULT!W72/100</f>
        <v>0.93269999999999997</v>
      </c>
      <c r="H22" s="644"/>
      <c r="I22" s="647">
        <f t="shared" ref="I22:I29" si="2">G22*I10</f>
        <v>142273.08799199999</v>
      </c>
    </row>
    <row r="23" spans="2:10" ht="25.5">
      <c r="B23" s="518" t="s">
        <v>379</v>
      </c>
      <c r="C23" s="583"/>
      <c r="D23" s="575"/>
      <c r="E23" s="575"/>
      <c r="F23" s="590"/>
      <c r="G23" s="83">
        <f>DADOS_CONSULT!W70/100</f>
        <v>1.0815000000000001</v>
      </c>
      <c r="H23" s="644"/>
      <c r="I23" s="647">
        <f t="shared" si="2"/>
        <v>154846.74744000004</v>
      </c>
    </row>
    <row r="24" spans="2:10">
      <c r="B24" s="97" t="s">
        <v>353</v>
      </c>
      <c r="C24" s="583"/>
      <c r="D24" s="575"/>
      <c r="E24" s="575"/>
      <c r="F24" s="590"/>
      <c r="G24" s="83">
        <f>DADOS_CONSULT!W56/100</f>
        <v>0.90790000000000004</v>
      </c>
      <c r="H24" s="644"/>
      <c r="I24" s="647">
        <f t="shared" si="2"/>
        <v>84429.579444000003</v>
      </c>
    </row>
    <row r="25" spans="2:10">
      <c r="B25" s="97" t="s">
        <v>353</v>
      </c>
      <c r="C25" s="583"/>
      <c r="D25" s="575"/>
      <c r="E25" s="575"/>
      <c r="F25" s="590"/>
      <c r="G25" s="83">
        <f>DADOS_CONSULT!W54/100</f>
        <v>1.0545</v>
      </c>
      <c r="H25" s="644"/>
      <c r="I25" s="647">
        <f t="shared" si="2"/>
        <v>40652.113860000005</v>
      </c>
    </row>
    <row r="26" spans="2:10">
      <c r="B26" s="97" t="s">
        <v>354</v>
      </c>
      <c r="C26" s="583"/>
      <c r="D26" s="575"/>
      <c r="E26" s="575"/>
      <c r="F26" s="590"/>
      <c r="G26" s="83">
        <f>DADOS_CONSULT!W56/100</f>
        <v>0.90790000000000004</v>
      </c>
      <c r="H26" s="644"/>
      <c r="I26" s="647">
        <f t="shared" si="2"/>
        <v>84429.579444000003</v>
      </c>
    </row>
    <row r="27" spans="2:10">
      <c r="B27" s="97" t="s">
        <v>354</v>
      </c>
      <c r="C27" s="583"/>
      <c r="D27" s="575"/>
      <c r="E27" s="575"/>
      <c r="F27" s="590"/>
      <c r="G27" s="83">
        <f>DADOS_CONSULT!W54/100</f>
        <v>1.0545</v>
      </c>
      <c r="H27" s="644"/>
      <c r="I27" s="647">
        <f t="shared" si="2"/>
        <v>40652.113860000005</v>
      </c>
    </row>
    <row r="28" spans="2:10">
      <c r="B28" s="97" t="s">
        <v>355</v>
      </c>
      <c r="C28" s="583"/>
      <c r="D28" s="575"/>
      <c r="E28" s="575"/>
      <c r="F28" s="590"/>
      <c r="G28" s="83">
        <f>DADOS_CONSULT!W70/100</f>
        <v>1.0815000000000001</v>
      </c>
      <c r="H28" s="644"/>
      <c r="I28" s="647">
        <f t="shared" si="2"/>
        <v>38711.686860000009</v>
      </c>
    </row>
    <row r="29" spans="2:10">
      <c r="B29" s="98" t="s">
        <v>82</v>
      </c>
      <c r="C29" s="583"/>
      <c r="D29" s="575"/>
      <c r="E29" s="575"/>
      <c r="F29" s="590"/>
      <c r="G29" s="83">
        <f>DADOS_CONSULT!W16/100</f>
        <v>1.5485</v>
      </c>
      <c r="H29" s="644"/>
      <c r="I29" s="647">
        <f t="shared" si="2"/>
        <v>44559.264360000001</v>
      </c>
    </row>
    <row r="30" spans="2:10">
      <c r="B30" s="638" t="s">
        <v>645</v>
      </c>
      <c r="C30" s="583"/>
      <c r="D30" s="575"/>
      <c r="E30" s="575"/>
      <c r="F30" s="590"/>
      <c r="G30" s="83"/>
      <c r="H30" s="644"/>
      <c r="I30" s="646">
        <f>SUM(I21:I29)</f>
        <v>792585.75140400021</v>
      </c>
      <c r="J30" s="686">
        <v>30</v>
      </c>
    </row>
    <row r="31" spans="2:10">
      <c r="B31" s="1044"/>
      <c r="C31" s="950"/>
      <c r="D31" s="950"/>
      <c r="E31" s="950"/>
      <c r="F31" s="950"/>
      <c r="G31" s="950"/>
      <c r="H31" s="950"/>
      <c r="I31" s="951"/>
    </row>
    <row r="32" spans="2:10">
      <c r="B32" s="77" t="s">
        <v>671</v>
      </c>
      <c r="C32" s="76"/>
      <c r="D32" s="589"/>
      <c r="E32" s="76"/>
      <c r="F32" s="76"/>
      <c r="G32" s="76"/>
      <c r="H32" s="76"/>
      <c r="I32" s="231"/>
    </row>
    <row r="33" spans="2:10">
      <c r="B33" s="77" t="s">
        <v>184</v>
      </c>
      <c r="C33" s="76"/>
      <c r="D33" s="589"/>
      <c r="E33" s="589" t="s">
        <v>48</v>
      </c>
      <c r="F33" s="589" t="s">
        <v>60</v>
      </c>
      <c r="G33" s="589" t="s">
        <v>638</v>
      </c>
      <c r="H33" s="589" t="s">
        <v>54</v>
      </c>
      <c r="I33" s="591" t="s">
        <v>14</v>
      </c>
    </row>
    <row r="34" spans="2:10">
      <c r="B34" s="65" t="str">
        <f>DADOS!H9</f>
        <v>CAMINHONETE - 71A 115 CV</v>
      </c>
      <c r="C34" s="76"/>
      <c r="D34" s="590"/>
      <c r="E34" s="590">
        <v>2</v>
      </c>
      <c r="F34" s="590">
        <v>132</v>
      </c>
      <c r="G34" s="92">
        <f>F34*E34*8</f>
        <v>2112</v>
      </c>
      <c r="H34" s="644">
        <f>DADOS_CONSULT!AF13</f>
        <v>46.14</v>
      </c>
      <c r="I34" s="675">
        <f>H34*G34</f>
        <v>97447.680000000008</v>
      </c>
      <c r="J34" s="686">
        <v>34</v>
      </c>
    </row>
    <row r="35" spans="2:10">
      <c r="B35" s="638" t="s">
        <v>646</v>
      </c>
      <c r="C35" s="630"/>
      <c r="D35" s="588"/>
      <c r="E35" s="588"/>
      <c r="F35" s="588"/>
      <c r="G35" s="665"/>
      <c r="H35" s="666"/>
      <c r="I35" s="674">
        <f>SUM(I34)</f>
        <v>97447.680000000008</v>
      </c>
      <c r="J35" s="686">
        <v>35</v>
      </c>
    </row>
    <row r="36" spans="2:10" ht="12" customHeight="1">
      <c r="B36" s="928"/>
      <c r="C36" s="916"/>
      <c r="D36" s="916"/>
      <c r="E36" s="916"/>
      <c r="F36" s="916"/>
      <c r="G36" s="916"/>
      <c r="H36" s="916"/>
      <c r="I36" s="917"/>
    </row>
    <row r="37" spans="2:10" ht="13.5" customHeight="1">
      <c r="B37" s="913" t="s">
        <v>86</v>
      </c>
      <c r="C37" s="914"/>
      <c r="D37" s="914"/>
      <c r="E37" s="914"/>
      <c r="F37" s="914"/>
      <c r="G37" s="914"/>
      <c r="H37" s="914"/>
      <c r="I37" s="233">
        <f>SUM(I18+I30+I35)</f>
        <v>1704441.1514040001</v>
      </c>
      <c r="J37" s="686">
        <v>37</v>
      </c>
    </row>
    <row r="38" spans="2:10">
      <c r="B38" s="915"/>
      <c r="C38" s="916"/>
      <c r="D38" s="916"/>
      <c r="E38" s="916"/>
      <c r="F38" s="916"/>
      <c r="G38" s="916"/>
      <c r="H38" s="916"/>
      <c r="I38" s="917"/>
    </row>
    <row r="39" spans="2:10">
      <c r="B39" s="900" t="s">
        <v>38</v>
      </c>
      <c r="C39" s="901"/>
      <c r="D39" s="902"/>
      <c r="E39" s="575"/>
      <c r="F39" s="575"/>
      <c r="G39" s="579"/>
      <c r="H39" s="580"/>
      <c r="I39" s="581"/>
    </row>
    <row r="40" spans="2:10">
      <c r="B40" s="649" t="s">
        <v>649</v>
      </c>
      <c r="C40" s="653"/>
      <c r="D40" s="658"/>
      <c r="E40" s="653"/>
      <c r="F40" s="653"/>
      <c r="G40" s="650"/>
      <c r="H40" s="653"/>
      <c r="I40" s="581"/>
    </row>
    <row r="41" spans="2:10">
      <c r="B41" s="656" t="s">
        <v>639</v>
      </c>
      <c r="C41" s="653"/>
      <c r="D41" s="658"/>
      <c r="E41" s="653"/>
      <c r="F41" s="653"/>
      <c r="G41" s="651">
        <v>0.1</v>
      </c>
      <c r="H41" s="653"/>
      <c r="I41" s="606">
        <f>G41*$I$37</f>
        <v>170444.11514040001</v>
      </c>
    </row>
    <row r="42" spans="2:10">
      <c r="B42" s="656" t="s">
        <v>640</v>
      </c>
      <c r="C42" s="653"/>
      <c r="D42" s="658"/>
      <c r="E42" s="653"/>
      <c r="F42" s="653"/>
      <c r="G42" s="651">
        <v>2.5000000000000001E-3</v>
      </c>
      <c r="H42" s="653"/>
      <c r="I42" s="606">
        <f t="shared" ref="I42:I44" si="3">G42*$I$37</f>
        <v>4261.1028785100007</v>
      </c>
    </row>
    <row r="43" spans="2:10">
      <c r="B43" s="656" t="s">
        <v>641</v>
      </c>
      <c r="C43" s="653"/>
      <c r="D43" s="658"/>
      <c r="E43" s="653"/>
      <c r="F43" s="653"/>
      <c r="G43" s="651">
        <v>7.1999999999999998E-3</v>
      </c>
      <c r="H43" s="653"/>
      <c r="I43" s="606">
        <f t="shared" si="3"/>
        <v>12271.9762901088</v>
      </c>
    </row>
    <row r="44" spans="2:10">
      <c r="B44" s="656" t="s">
        <v>642</v>
      </c>
      <c r="C44" s="653"/>
      <c r="D44" s="658"/>
      <c r="E44" s="653"/>
      <c r="F44" s="653"/>
      <c r="G44" s="651">
        <v>1.4E-3</v>
      </c>
      <c r="H44" s="653"/>
      <c r="I44" s="606">
        <f t="shared" si="3"/>
        <v>2386.2176119656001</v>
      </c>
    </row>
    <row r="45" spans="2:10">
      <c r="B45" s="603" t="s">
        <v>648</v>
      </c>
      <c r="C45" s="653"/>
      <c r="D45" s="658"/>
      <c r="E45" s="653"/>
      <c r="F45" s="653"/>
      <c r="G45" s="651">
        <v>0.1111</v>
      </c>
      <c r="H45" s="653"/>
      <c r="I45" s="157">
        <f>SUM(I41:I44)</f>
        <v>189363.41192098442</v>
      </c>
      <c r="J45" s="686">
        <v>45</v>
      </c>
    </row>
    <row r="46" spans="2:10">
      <c r="B46" s="649"/>
      <c r="C46" s="653"/>
      <c r="D46" s="658"/>
      <c r="E46" s="653"/>
      <c r="F46" s="653"/>
      <c r="G46" s="653"/>
      <c r="H46" s="653"/>
      <c r="I46" s="581"/>
    </row>
    <row r="47" spans="2:10">
      <c r="B47" s="649" t="s">
        <v>654</v>
      </c>
      <c r="C47" s="653"/>
      <c r="D47" s="658"/>
      <c r="E47" s="653"/>
      <c r="F47" s="653"/>
      <c r="G47" s="653"/>
      <c r="H47" s="653"/>
      <c r="I47" s="581"/>
    </row>
    <row r="48" spans="2:10">
      <c r="B48" s="649" t="s">
        <v>673</v>
      </c>
      <c r="C48" s="653"/>
      <c r="D48" s="658"/>
      <c r="E48" s="653"/>
      <c r="F48" s="653"/>
      <c r="G48" s="651">
        <v>0.12</v>
      </c>
      <c r="H48" s="653"/>
      <c r="I48" s="604">
        <f>G48*I37</f>
        <v>204532.93816848</v>
      </c>
      <c r="J48" s="686">
        <v>48</v>
      </c>
    </row>
    <row r="49" spans="2:10">
      <c r="B49" s="649"/>
      <c r="C49" s="653"/>
      <c r="D49" s="658"/>
      <c r="E49" s="653"/>
      <c r="F49" s="653"/>
      <c r="G49" s="653"/>
      <c r="H49" s="653"/>
      <c r="I49" s="581"/>
    </row>
    <row r="50" spans="2:10">
      <c r="B50" s="649" t="s">
        <v>655</v>
      </c>
      <c r="C50" s="653"/>
      <c r="D50" s="658"/>
      <c r="E50" s="653"/>
      <c r="F50" s="653"/>
      <c r="G50" s="651"/>
      <c r="H50" s="653"/>
      <c r="I50" s="581"/>
    </row>
    <row r="51" spans="2:10">
      <c r="B51" s="656" t="s">
        <v>656</v>
      </c>
      <c r="C51" s="653"/>
      <c r="D51" s="658"/>
      <c r="E51" s="653"/>
      <c r="F51" s="653"/>
      <c r="G51" s="651">
        <v>2.3699999999999999E-2</v>
      </c>
      <c r="H51" s="653"/>
      <c r="I51" s="606">
        <f>G51*$I$37</f>
        <v>40395.255288274799</v>
      </c>
    </row>
    <row r="52" spans="2:10">
      <c r="B52" s="656" t="s">
        <v>657</v>
      </c>
      <c r="C52" s="653"/>
      <c r="D52" s="658"/>
      <c r="E52" s="653"/>
      <c r="F52" s="653"/>
      <c r="G52" s="651">
        <v>0.1091</v>
      </c>
      <c r="H52" s="653"/>
      <c r="I52" s="606">
        <f t="shared" ref="I52:I53" si="4">G52*$I$37</f>
        <v>185954.52961817643</v>
      </c>
    </row>
    <row r="53" spans="2:10">
      <c r="B53" s="656" t="s">
        <v>658</v>
      </c>
      <c r="C53" s="653"/>
      <c r="D53" s="658"/>
      <c r="E53" s="653"/>
      <c r="F53" s="653"/>
      <c r="G53" s="651">
        <v>7.1800000000000003E-2</v>
      </c>
      <c r="H53" s="653"/>
      <c r="I53" s="606">
        <f t="shared" si="4"/>
        <v>122378.87467080721</v>
      </c>
    </row>
    <row r="54" spans="2:10">
      <c r="B54" s="649"/>
      <c r="C54" s="653"/>
      <c r="D54" s="658"/>
      <c r="E54" s="653"/>
      <c r="F54" s="653"/>
      <c r="G54" s="650"/>
      <c r="H54" s="653"/>
      <c r="I54" s="157">
        <f>SUM(I51:I53)</f>
        <v>348728.65957725846</v>
      </c>
      <c r="J54" s="686">
        <v>54</v>
      </c>
    </row>
    <row r="55" spans="2:10">
      <c r="B55" s="925"/>
      <c r="C55" s="926"/>
      <c r="D55" s="926"/>
      <c r="E55" s="926"/>
      <c r="F55" s="926"/>
      <c r="G55" s="926"/>
      <c r="H55" s="926"/>
      <c r="I55" s="927"/>
    </row>
    <row r="56" spans="2:10">
      <c r="B56" s="913" t="s">
        <v>202</v>
      </c>
      <c r="C56" s="914"/>
      <c r="D56" s="914"/>
      <c r="E56" s="914"/>
      <c r="F56" s="914"/>
      <c r="G56" s="914"/>
      <c r="H56" s="914"/>
      <c r="I56" s="233">
        <f>I45+I48+I54</f>
        <v>742625.00966672297</v>
      </c>
      <c r="J56" s="686">
        <v>56</v>
      </c>
    </row>
    <row r="57" spans="2:10">
      <c r="B57" s="918"/>
      <c r="C57" s="919"/>
      <c r="D57" s="919"/>
      <c r="E57" s="919"/>
      <c r="F57" s="919"/>
      <c r="G57" s="919"/>
      <c r="H57" s="919"/>
      <c r="I57" s="920"/>
    </row>
    <row r="58" spans="2:10" ht="13.5" thickBot="1">
      <c r="B58" s="921" t="s">
        <v>203</v>
      </c>
      <c r="C58" s="922"/>
      <c r="D58" s="922"/>
      <c r="E58" s="922"/>
      <c r="F58" s="922"/>
      <c r="G58" s="922"/>
      <c r="H58" s="922"/>
      <c r="I58" s="85">
        <f>SUM(I37+I56)</f>
        <v>2447066.1610707231</v>
      </c>
    </row>
    <row r="59" spans="2:10" ht="13.5" thickBot="1"/>
    <row r="60" spans="2:10">
      <c r="B60" s="1017" t="s">
        <v>167</v>
      </c>
      <c r="C60" s="971"/>
      <c r="D60" s="971"/>
      <c r="E60" s="971"/>
      <c r="F60" s="971"/>
      <c r="G60" s="971"/>
      <c r="H60" s="971"/>
      <c r="I60" s="972"/>
    </row>
    <row r="61" spans="2:10" ht="13.5" customHeight="1">
      <c r="B61" s="1040" t="s">
        <v>706</v>
      </c>
      <c r="C61" s="1041"/>
      <c r="D61" s="1041"/>
      <c r="E61" s="1041"/>
      <c r="F61" s="1041"/>
      <c r="G61" s="1041"/>
      <c r="H61" s="1041"/>
      <c r="I61" s="1042"/>
    </row>
    <row r="62" spans="2:10" ht="13.5" customHeight="1">
      <c r="B62" s="1014"/>
      <c r="C62" s="1015"/>
      <c r="D62" s="1015"/>
      <c r="E62" s="1015"/>
      <c r="F62" s="1015"/>
      <c r="G62" s="1015"/>
      <c r="H62" s="1015"/>
      <c r="I62" s="1016"/>
    </row>
    <row r="63" spans="2:10" ht="13.5" thickBot="1">
      <c r="B63" s="1037"/>
      <c r="C63" s="1038"/>
      <c r="D63" s="1038"/>
      <c r="E63" s="1038"/>
      <c r="F63" s="1038"/>
      <c r="G63" s="1038"/>
      <c r="H63" s="1038"/>
      <c r="I63" s="1039"/>
    </row>
  </sheetData>
  <mergeCells count="23">
    <mergeCell ref="B1:I1"/>
    <mergeCell ref="B2:I2"/>
    <mergeCell ref="B3:I3"/>
    <mergeCell ref="C4:I4"/>
    <mergeCell ref="C5:I5"/>
    <mergeCell ref="B36:I36"/>
    <mergeCell ref="B37:H37"/>
    <mergeCell ref="B38:I38"/>
    <mergeCell ref="B39:D39"/>
    <mergeCell ref="B6:C6"/>
    <mergeCell ref="E6:G6"/>
    <mergeCell ref="H6:I6"/>
    <mergeCell ref="B7:C7"/>
    <mergeCell ref="B19:I19"/>
    <mergeCell ref="B31:I31"/>
    <mergeCell ref="B55:I55"/>
    <mergeCell ref="B56:H56"/>
    <mergeCell ref="B57:I57"/>
    <mergeCell ref="B63:I63"/>
    <mergeCell ref="B60:I60"/>
    <mergeCell ref="B58:H58"/>
    <mergeCell ref="B61:I61"/>
    <mergeCell ref="B62:I62"/>
  </mergeCells>
  <pageMargins left="0.511811024" right="0.511811024" top="0.78740157499999996" bottom="0.78740157499999996" header="0.31496062000000002" footer="0.31496062000000002"/>
  <pageSetup paperSize="9" scale="82" orientation="portrait" verticalDpi="0" r:id="rId1"/>
  <ignoredErrors>
    <ignoredError sqref="C13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M48"/>
  <sheetViews>
    <sheetView zoomScaleNormal="100" workbookViewId="0">
      <selection activeCell="R45" sqref="R45"/>
    </sheetView>
  </sheetViews>
  <sheetFormatPr defaultRowHeight="12.75"/>
  <cols>
    <col min="1" max="1" width="5.140625" style="9" customWidth="1"/>
    <col min="2" max="2" width="34" style="9" customWidth="1"/>
    <col min="3" max="3" width="6.5703125" style="9" customWidth="1"/>
    <col min="4" max="4" width="9.140625" style="9"/>
    <col min="5" max="5" width="9.140625" style="9" customWidth="1"/>
    <col min="6" max="6" width="8.28515625" style="9" customWidth="1"/>
    <col min="7" max="7" width="8.140625" style="9" customWidth="1"/>
    <col min="8" max="8" width="12.140625" style="9" bestFit="1" customWidth="1"/>
    <col min="9" max="9" width="15.85546875" style="9" customWidth="1"/>
    <col min="10" max="10" width="9.140625" style="9"/>
    <col min="11" max="11" width="10" style="9" bestFit="1" customWidth="1"/>
    <col min="12" max="16384" width="9.140625" style="9"/>
  </cols>
  <sheetData>
    <row r="1" spans="2:9" ht="13.5" thickBot="1">
      <c r="B1" s="991"/>
      <c r="C1" s="991"/>
      <c r="D1" s="991"/>
      <c r="E1" s="991"/>
      <c r="F1" s="991"/>
      <c r="G1" s="991"/>
      <c r="H1" s="991"/>
      <c r="I1" s="991"/>
    </row>
    <row r="2" spans="2:9" ht="25.5" customHeight="1">
      <c r="B2" s="777" t="str">
        <f>DADOS!D27</f>
        <v>GESTÃO AMBIENTAL - BR-158/MT</v>
      </c>
      <c r="C2" s="778"/>
      <c r="D2" s="778"/>
      <c r="E2" s="778"/>
      <c r="F2" s="778"/>
      <c r="G2" s="778"/>
      <c r="H2" s="778"/>
      <c r="I2" s="779"/>
    </row>
    <row r="3" spans="2:9" ht="35.25" customHeight="1">
      <c r="B3" s="881" t="s">
        <v>239</v>
      </c>
      <c r="C3" s="995"/>
      <c r="D3" s="995"/>
      <c r="E3" s="995"/>
      <c r="F3" s="995"/>
      <c r="G3" s="995"/>
      <c r="H3" s="995"/>
      <c r="I3" s="996"/>
    </row>
    <row r="4" spans="2:9">
      <c r="B4" s="1068">
        <f>DADOS!E30</f>
        <v>43831</v>
      </c>
      <c r="C4" s="1069"/>
      <c r="D4" s="1069"/>
      <c r="E4" s="1069"/>
      <c r="F4" s="1069"/>
      <c r="G4" s="1069"/>
      <c r="H4" s="1069"/>
      <c r="I4" s="1070"/>
    </row>
    <row r="5" spans="2:9">
      <c r="B5" s="992" t="s">
        <v>37</v>
      </c>
      <c r="C5" s="993"/>
      <c r="D5" s="993"/>
      <c r="E5" s="993"/>
      <c r="F5" s="993"/>
      <c r="G5" s="993"/>
      <c r="H5" s="993"/>
      <c r="I5" s="994"/>
    </row>
    <row r="6" spans="2:9">
      <c r="B6" s="958" t="s">
        <v>51</v>
      </c>
      <c r="C6" s="959"/>
      <c r="D6" s="78"/>
      <c r="E6" s="773" t="s">
        <v>30</v>
      </c>
      <c r="F6" s="773"/>
      <c r="G6" s="774"/>
      <c r="H6" s="773" t="s">
        <v>52</v>
      </c>
      <c r="I6" s="960"/>
    </row>
    <row r="7" spans="2:9">
      <c r="B7" s="958" t="s">
        <v>53</v>
      </c>
      <c r="C7" s="959"/>
      <c r="D7" s="76"/>
      <c r="E7" s="76"/>
      <c r="F7" s="76"/>
      <c r="G7" s="76"/>
      <c r="H7" s="110"/>
      <c r="I7" s="111"/>
    </row>
    <row r="8" spans="2:9">
      <c r="B8" s="77" t="s">
        <v>55</v>
      </c>
      <c r="C8" s="78" t="s">
        <v>56</v>
      </c>
      <c r="D8" s="79" t="s">
        <v>46</v>
      </c>
      <c r="E8" s="79" t="s">
        <v>57</v>
      </c>
      <c r="F8" s="303" t="s">
        <v>240</v>
      </c>
      <c r="G8" s="79" t="s">
        <v>49</v>
      </c>
      <c r="H8" s="79" t="s">
        <v>54</v>
      </c>
      <c r="I8" s="80" t="s">
        <v>14</v>
      </c>
    </row>
    <row r="9" spans="2:9">
      <c r="B9" s="82" t="s">
        <v>83</v>
      </c>
      <c r="C9" s="104" t="s">
        <v>6</v>
      </c>
      <c r="D9" s="81" t="s">
        <v>237</v>
      </c>
      <c r="E9" s="72">
        <v>1</v>
      </c>
      <c r="F9" s="72">
        <v>15</v>
      </c>
      <c r="G9" s="72">
        <f>F9*E9</f>
        <v>15</v>
      </c>
      <c r="H9" s="104">
        <f>DADOS!F13</f>
        <v>403.75</v>
      </c>
      <c r="I9" s="294">
        <f>H9*G9</f>
        <v>6056.25</v>
      </c>
    </row>
    <row r="10" spans="2:9">
      <c r="B10" s="82" t="s">
        <v>82</v>
      </c>
      <c r="C10" s="104" t="str">
        <f>[1]DADOS!C18</f>
        <v>T4</v>
      </c>
      <c r="D10" s="81" t="s">
        <v>237</v>
      </c>
      <c r="E10" s="72">
        <v>1</v>
      </c>
      <c r="F10" s="72">
        <v>15</v>
      </c>
      <c r="G10" s="72">
        <f>F10*E10</f>
        <v>15</v>
      </c>
      <c r="H10" s="104">
        <f>DADOS!F18</f>
        <v>103.38319910723391</v>
      </c>
      <c r="I10" s="294">
        <f>H10*G10</f>
        <v>1550.7479866085087</v>
      </c>
    </row>
    <row r="11" spans="2:9">
      <c r="B11" s="77"/>
      <c r="C11" s="78"/>
      <c r="D11" s="79"/>
      <c r="E11" s="79"/>
      <c r="F11" s="79"/>
      <c r="G11" s="79"/>
      <c r="H11" s="79"/>
      <c r="I11" s="293">
        <f>SUM(I9:I10)</f>
        <v>7606.9979866085087</v>
      </c>
    </row>
    <row r="12" spans="2:9">
      <c r="B12" s="884"/>
      <c r="C12" s="862"/>
      <c r="D12" s="862"/>
      <c r="E12" s="862"/>
      <c r="F12" s="862"/>
      <c r="G12" s="862"/>
      <c r="H12" s="862"/>
      <c r="I12" s="791"/>
    </row>
    <row r="13" spans="2:9">
      <c r="B13" s="77" t="s">
        <v>58</v>
      </c>
      <c r="C13" s="76"/>
      <c r="D13" s="72"/>
      <c r="E13" s="72"/>
      <c r="F13" s="72"/>
      <c r="G13" s="72"/>
      <c r="H13" s="203"/>
      <c r="I13" s="204"/>
    </row>
    <row r="14" spans="2:9">
      <c r="B14" s="65" t="s">
        <v>170</v>
      </c>
      <c r="C14" s="76"/>
      <c r="D14" s="72"/>
      <c r="E14" s="72"/>
      <c r="F14" s="72"/>
      <c r="G14" s="83">
        <v>0.84040000000000004</v>
      </c>
      <c r="H14" s="203">
        <f>I11</f>
        <v>7606.9979866085087</v>
      </c>
      <c r="I14" s="157">
        <f>H14*G14</f>
        <v>6392.9211079457909</v>
      </c>
    </row>
    <row r="15" spans="2:9">
      <c r="B15" s="884"/>
      <c r="C15" s="862"/>
      <c r="D15" s="862"/>
      <c r="E15" s="862"/>
      <c r="F15" s="862"/>
      <c r="G15" s="862"/>
      <c r="H15" s="862"/>
      <c r="I15" s="791"/>
    </row>
    <row r="16" spans="2:9">
      <c r="B16" s="77" t="s">
        <v>59</v>
      </c>
      <c r="C16" s="76"/>
      <c r="D16" s="72"/>
      <c r="E16" s="72"/>
      <c r="F16" s="72"/>
      <c r="G16" s="72"/>
      <c r="H16" s="203"/>
      <c r="I16" s="204"/>
    </row>
    <row r="17" spans="2:9">
      <c r="B17" s="65" t="s">
        <v>171</v>
      </c>
      <c r="C17" s="76"/>
      <c r="D17" s="72"/>
      <c r="E17" s="72"/>
      <c r="F17" s="72"/>
      <c r="G17" s="83">
        <v>0.3</v>
      </c>
      <c r="H17" s="203">
        <f>I11</f>
        <v>7606.9979866085087</v>
      </c>
      <c r="I17" s="157">
        <f>H17*G17</f>
        <v>2282.0993959825523</v>
      </c>
    </row>
    <row r="18" spans="2:9">
      <c r="B18" s="884"/>
      <c r="C18" s="862"/>
      <c r="D18" s="862"/>
      <c r="E18" s="862"/>
      <c r="F18" s="862"/>
      <c r="G18" s="862"/>
      <c r="H18" s="862"/>
      <c r="I18" s="791"/>
    </row>
    <row r="19" spans="2:9">
      <c r="B19" s="884"/>
      <c r="C19" s="862"/>
      <c r="D19" s="862"/>
      <c r="E19" s="862"/>
      <c r="F19" s="862"/>
      <c r="G19" s="862"/>
      <c r="H19" s="862"/>
      <c r="I19" s="791"/>
    </row>
    <row r="20" spans="2:9">
      <c r="B20" s="77" t="s">
        <v>244</v>
      </c>
      <c r="C20" s="76"/>
      <c r="D20" s="79"/>
      <c r="E20" s="110"/>
      <c r="F20" s="110"/>
      <c r="G20" s="110"/>
      <c r="H20" s="110"/>
      <c r="I20" s="111"/>
    </row>
    <row r="21" spans="2:9">
      <c r="B21" s="77" t="s">
        <v>184</v>
      </c>
      <c r="C21" s="76"/>
      <c r="D21" s="79"/>
      <c r="E21" s="79" t="s">
        <v>48</v>
      </c>
      <c r="F21" s="79" t="s">
        <v>60</v>
      </c>
      <c r="G21" s="79" t="s">
        <v>49</v>
      </c>
      <c r="H21" s="79" t="s">
        <v>54</v>
      </c>
      <c r="I21" s="80" t="s">
        <v>14</v>
      </c>
    </row>
    <row r="22" spans="2:9">
      <c r="B22" s="232" t="str">
        <f>DADOS!H8</f>
        <v>SEDAN - 71 A 115 CV</v>
      </c>
      <c r="C22" s="76"/>
      <c r="D22" s="72"/>
      <c r="E22" s="72">
        <v>1</v>
      </c>
      <c r="F22" s="72">
        <v>15</v>
      </c>
      <c r="G22" s="92">
        <f>F22*E22</f>
        <v>15</v>
      </c>
      <c r="H22" s="203">
        <f>DADOS!K8</f>
        <v>112.20822569570039</v>
      </c>
      <c r="I22" s="157">
        <f>H22*G22</f>
        <v>1683.123385435506</v>
      </c>
    </row>
    <row r="23" spans="2:9">
      <c r="B23" s="884"/>
      <c r="C23" s="862"/>
      <c r="D23" s="862"/>
      <c r="E23" s="862"/>
      <c r="F23" s="862"/>
      <c r="G23" s="862"/>
      <c r="H23" s="862"/>
      <c r="I23" s="791"/>
    </row>
    <row r="24" spans="2:9" ht="12" customHeight="1">
      <c r="B24" s="884"/>
      <c r="C24" s="862"/>
      <c r="D24" s="862"/>
      <c r="E24" s="862"/>
      <c r="F24" s="862"/>
      <c r="G24" s="862"/>
      <c r="H24" s="862"/>
      <c r="I24" s="791"/>
    </row>
    <row r="25" spans="2:9" ht="13.5" thickBot="1">
      <c r="B25" s="1065" t="s">
        <v>86</v>
      </c>
      <c r="C25" s="1066"/>
      <c r="D25" s="1066"/>
      <c r="E25" s="1066"/>
      <c r="F25" s="1066"/>
      <c r="G25" s="1066"/>
      <c r="H25" s="1067"/>
      <c r="I25" s="85">
        <f>I11+I14+I17+I22</f>
        <v>17965.141875972357</v>
      </c>
    </row>
    <row r="26" spans="2:9">
      <c r="B26" s="1062"/>
      <c r="C26" s="1063"/>
      <c r="D26" s="1063"/>
      <c r="E26" s="1063"/>
      <c r="F26" s="1063"/>
      <c r="G26" s="1063"/>
      <c r="H26" s="1063"/>
      <c r="I26" s="1064"/>
    </row>
    <row r="27" spans="2:9">
      <c r="B27" s="900" t="s">
        <v>38</v>
      </c>
      <c r="C27" s="1049"/>
      <c r="D27" s="1050"/>
      <c r="E27" s="72"/>
      <c r="F27" s="72"/>
      <c r="G27" s="92"/>
      <c r="H27" s="203"/>
      <c r="I27" s="157"/>
    </row>
    <row r="28" spans="2:9">
      <c r="B28" s="1051" t="s">
        <v>180</v>
      </c>
      <c r="C28" s="1052"/>
      <c r="D28" s="1052"/>
      <c r="E28" s="72"/>
      <c r="F28" s="72"/>
      <c r="G28" s="92"/>
      <c r="H28" s="203"/>
      <c r="I28" s="157"/>
    </row>
    <row r="29" spans="2:9">
      <c r="B29" s="903" t="s">
        <v>201</v>
      </c>
      <c r="C29" s="1052"/>
      <c r="D29" s="1052"/>
      <c r="E29" s="72"/>
      <c r="F29" s="72"/>
      <c r="G29" s="83">
        <v>0.12</v>
      </c>
      <c r="H29" s="203">
        <f>I25</f>
        <v>17965.141875972357</v>
      </c>
      <c r="I29" s="157">
        <f>H29*G29</f>
        <v>2155.8170251166825</v>
      </c>
    </row>
    <row r="30" spans="2:9">
      <c r="B30" s="903" t="s">
        <v>181</v>
      </c>
      <c r="C30" s="1052"/>
      <c r="D30" s="1052"/>
      <c r="E30" s="72"/>
      <c r="F30" s="72"/>
      <c r="G30" s="72"/>
      <c r="H30" s="203"/>
      <c r="I30" s="157"/>
    </row>
    <row r="31" spans="2:9">
      <c r="B31" s="903" t="s">
        <v>210</v>
      </c>
      <c r="C31" s="1052"/>
      <c r="D31" s="1052"/>
      <c r="E31" s="72"/>
      <c r="F31" s="72"/>
      <c r="G31" s="83">
        <v>0.16619999999999999</v>
      </c>
      <c r="H31" s="203">
        <f>H29+I29</f>
        <v>20120.958901089038</v>
      </c>
      <c r="I31" s="157">
        <f>H31*G31</f>
        <v>3344.1033693609979</v>
      </c>
    </row>
    <row r="32" spans="2:9" ht="13.5" thickBot="1">
      <c r="B32" s="1056"/>
      <c r="C32" s="1057"/>
      <c r="D32" s="1057"/>
      <c r="E32" s="1057"/>
      <c r="F32" s="1057"/>
      <c r="G32" s="1057"/>
      <c r="H32" s="1057"/>
      <c r="I32" s="1058"/>
    </row>
    <row r="33" spans="2:13">
      <c r="B33" s="913" t="s">
        <v>202</v>
      </c>
      <c r="C33" s="1059"/>
      <c r="D33" s="1059"/>
      <c r="E33" s="1059"/>
      <c r="F33" s="1059"/>
      <c r="G33" s="1059"/>
      <c r="H33" s="1059"/>
      <c r="I33" s="233">
        <f>SUM(I29+I31)</f>
        <v>5499.92039447768</v>
      </c>
    </row>
    <row r="34" spans="2:13" ht="13.5" thickBot="1">
      <c r="B34" s="1056"/>
      <c r="C34" s="1057"/>
      <c r="D34" s="1057"/>
      <c r="E34" s="1057"/>
      <c r="F34" s="1057"/>
      <c r="G34" s="1057"/>
      <c r="H34" s="1057"/>
      <c r="I34" s="1058"/>
    </row>
    <row r="35" spans="2:13" ht="13.5" thickBot="1">
      <c r="B35" s="1060" t="s">
        <v>203</v>
      </c>
      <c r="C35" s="1061"/>
      <c r="D35" s="1061"/>
      <c r="E35" s="1061"/>
      <c r="F35" s="1061"/>
      <c r="G35" s="1061"/>
      <c r="H35" s="1061"/>
      <c r="I35" s="234">
        <f>I25+I33</f>
        <v>23465.062270450035</v>
      </c>
    </row>
    <row r="36" spans="2:13">
      <c r="B36" s="290"/>
      <c r="C36" s="291"/>
      <c r="D36" s="291"/>
      <c r="E36" s="291"/>
      <c r="F36" s="291"/>
      <c r="G36" s="291"/>
      <c r="H36" s="291"/>
      <c r="I36" s="292"/>
    </row>
    <row r="37" spans="2:13">
      <c r="B37" s="290"/>
      <c r="C37" s="291"/>
      <c r="D37" s="291"/>
      <c r="E37" s="291"/>
      <c r="F37" s="291"/>
      <c r="G37" s="291"/>
      <c r="H37" s="291"/>
      <c r="I37" s="292"/>
    </row>
    <row r="38" spans="2:13">
      <c r="B38" s="290"/>
      <c r="C38" s="291"/>
      <c r="D38" s="291"/>
      <c r="E38" s="291"/>
      <c r="F38" s="291"/>
      <c r="G38" s="291"/>
      <c r="H38" s="291"/>
      <c r="I38" s="292"/>
    </row>
    <row r="39" spans="2:13" ht="13.5" thickBot="1"/>
    <row r="40" spans="2:13">
      <c r="B40" s="970" t="s">
        <v>173</v>
      </c>
      <c r="C40" s="971"/>
      <c r="D40" s="971"/>
      <c r="E40" s="971"/>
      <c r="F40" s="971"/>
      <c r="G40" s="971"/>
      <c r="H40" s="971"/>
      <c r="I40" s="972"/>
    </row>
    <row r="41" spans="2:13">
      <c r="B41" s="108"/>
      <c r="C41" s="107"/>
      <c r="D41" s="107"/>
      <c r="E41" s="107"/>
      <c r="F41" s="107"/>
      <c r="G41" s="107"/>
      <c r="H41" s="107"/>
      <c r="I41" s="109"/>
    </row>
    <row r="42" spans="2:13">
      <c r="B42" s="309" t="s">
        <v>242</v>
      </c>
      <c r="C42" s="107"/>
      <c r="D42" s="107"/>
      <c r="E42" s="107"/>
      <c r="F42" s="107"/>
      <c r="G42" s="107"/>
      <c r="H42" s="107"/>
      <c r="I42" s="109"/>
    </row>
    <row r="43" spans="2:13">
      <c r="B43" s="1053" t="s">
        <v>245</v>
      </c>
      <c r="C43" s="1054"/>
      <c r="D43" s="1054"/>
      <c r="E43" s="1054"/>
      <c r="F43" s="1054"/>
      <c r="G43" s="1054"/>
      <c r="H43" s="1054"/>
      <c r="I43" s="1055"/>
    </row>
    <row r="44" spans="2:13" ht="15.75" customHeight="1" thickBot="1">
      <c r="B44" s="1011" t="s">
        <v>185</v>
      </c>
      <c r="C44" s="1012"/>
      <c r="D44" s="1012"/>
      <c r="E44" s="1012"/>
      <c r="F44" s="1012"/>
      <c r="G44" s="1012"/>
      <c r="H44" s="1012"/>
      <c r="I44" s="1013"/>
    </row>
    <row r="45" spans="2:13" ht="39.75" customHeight="1">
      <c r="B45" s="1047"/>
      <c r="C45" s="1048"/>
      <c r="D45" s="1048"/>
      <c r="E45" s="1048"/>
      <c r="F45" s="1048"/>
      <c r="G45" s="1048"/>
      <c r="H45" s="1048"/>
      <c r="I45" s="1048"/>
    </row>
    <row r="46" spans="2:13">
      <c r="B46" s="1045"/>
      <c r="C46" s="1046"/>
      <c r="D46" s="1046"/>
      <c r="E46" s="1046"/>
      <c r="F46" s="1046"/>
      <c r="G46" s="1046"/>
      <c r="H46" s="1046"/>
      <c r="I46" s="1046"/>
      <c r="J46" s="114"/>
      <c r="K46" s="114"/>
      <c r="L46" s="114"/>
      <c r="M46" s="114"/>
    </row>
    <row r="48" spans="2:13">
      <c r="B48" s="285"/>
    </row>
  </sheetData>
  <mergeCells count="31">
    <mergeCell ref="B1:I1"/>
    <mergeCell ref="B2:I2"/>
    <mergeCell ref="B3:I3"/>
    <mergeCell ref="B4:I4"/>
    <mergeCell ref="B5:I5"/>
    <mergeCell ref="B6:C6"/>
    <mergeCell ref="E6:G6"/>
    <mergeCell ref="H6:I6"/>
    <mergeCell ref="B7:C7"/>
    <mergeCell ref="B26:I26"/>
    <mergeCell ref="B25:H25"/>
    <mergeCell ref="B12:I12"/>
    <mergeCell ref="B15:I15"/>
    <mergeCell ref="B18:I18"/>
    <mergeCell ref="B19:I19"/>
    <mergeCell ref="B23:I23"/>
    <mergeCell ref="B24:I24"/>
    <mergeCell ref="B46:I46"/>
    <mergeCell ref="B45:I45"/>
    <mergeCell ref="B27:D27"/>
    <mergeCell ref="B28:D28"/>
    <mergeCell ref="B29:D29"/>
    <mergeCell ref="B30:D30"/>
    <mergeCell ref="B31:D31"/>
    <mergeCell ref="B40:I40"/>
    <mergeCell ref="B43:I43"/>
    <mergeCell ref="B44:I44"/>
    <mergeCell ref="B32:I32"/>
    <mergeCell ref="B33:H33"/>
    <mergeCell ref="B34:I34"/>
    <mergeCell ref="B35:H35"/>
  </mergeCells>
  <pageMargins left="0.511811024" right="0.511811024" top="0.78740157499999996" bottom="0.78740157499999996" header="0.31496062000000002" footer="0.31496062000000002"/>
  <pageSetup paperSize="9" scale="91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A7" workbookViewId="0">
      <selection activeCell="O50" sqref="O50"/>
    </sheetView>
  </sheetViews>
  <sheetFormatPr defaultRowHeight="12.75"/>
  <cols>
    <col min="1" max="1" width="4.85546875" customWidth="1"/>
    <col min="2" max="2" width="40.7109375" bestFit="1" customWidth="1"/>
    <col min="4" max="4" width="10" customWidth="1"/>
    <col min="8" max="8" width="11.7109375" customWidth="1"/>
    <col min="9" max="9" width="15.5703125" customWidth="1"/>
  </cols>
  <sheetData>
    <row r="1" spans="1:9" ht="13.5" thickBot="1">
      <c r="A1" s="9"/>
      <c r="B1" s="898"/>
      <c r="C1" s="898"/>
      <c r="D1" s="898"/>
      <c r="E1" s="898"/>
      <c r="F1" s="898"/>
      <c r="G1" s="898"/>
      <c r="H1" s="898"/>
      <c r="I1" s="898"/>
    </row>
    <row r="2" spans="1:9" ht="15">
      <c r="A2" s="9"/>
      <c r="B2" s="777" t="str">
        <f>DADOS!D27</f>
        <v>GESTÃO AMBIENTAL - BR-158/MT</v>
      </c>
      <c r="C2" s="778"/>
      <c r="D2" s="778"/>
      <c r="E2" s="778"/>
      <c r="F2" s="778"/>
      <c r="G2" s="778"/>
      <c r="H2" s="778"/>
      <c r="I2" s="779"/>
    </row>
    <row r="3" spans="1:9">
      <c r="A3" s="9"/>
      <c r="B3" s="881" t="s">
        <v>683</v>
      </c>
      <c r="C3" s="886"/>
      <c r="D3" s="886"/>
      <c r="E3" s="886"/>
      <c r="F3" s="886"/>
      <c r="G3" s="886"/>
      <c r="H3" s="886"/>
      <c r="I3" s="963"/>
    </row>
    <row r="4" spans="1:9">
      <c r="A4" s="9"/>
      <c r="B4" s="693">
        <f>DADOS!E30</f>
        <v>43831</v>
      </c>
      <c r="C4" s="894"/>
      <c r="D4" s="895"/>
      <c r="E4" s="895"/>
      <c r="F4" s="895"/>
      <c r="G4" s="895"/>
      <c r="H4" s="895"/>
      <c r="I4" s="896"/>
    </row>
    <row r="5" spans="1:9">
      <c r="A5" s="9"/>
      <c r="B5" s="699" t="s">
        <v>37</v>
      </c>
      <c r="C5" s="897"/>
      <c r="D5" s="895"/>
      <c r="E5" s="895"/>
      <c r="F5" s="895"/>
      <c r="G5" s="895"/>
      <c r="H5" s="895"/>
      <c r="I5" s="896"/>
    </row>
    <row r="6" spans="1:9">
      <c r="A6" s="9"/>
      <c r="B6" s="958" t="s">
        <v>51</v>
      </c>
      <c r="C6" s="959"/>
      <c r="D6" s="78"/>
      <c r="E6" s="773" t="s">
        <v>30</v>
      </c>
      <c r="F6" s="773"/>
      <c r="G6" s="774"/>
      <c r="H6" s="773" t="s">
        <v>52</v>
      </c>
      <c r="I6" s="960"/>
    </row>
    <row r="7" spans="1:9">
      <c r="A7" s="9"/>
      <c r="B7" s="958" t="s">
        <v>670</v>
      </c>
      <c r="C7" s="959"/>
      <c r="D7" s="76"/>
      <c r="E7" s="76"/>
      <c r="F7" s="76"/>
      <c r="G7" s="76"/>
      <c r="H7" s="694"/>
      <c r="I7" s="697"/>
    </row>
    <row r="8" spans="1:9">
      <c r="A8" s="9"/>
      <c r="B8" s="77" t="s">
        <v>55</v>
      </c>
      <c r="C8" s="78" t="s">
        <v>659</v>
      </c>
      <c r="D8" s="694" t="s">
        <v>46</v>
      </c>
      <c r="E8" s="694" t="s">
        <v>57</v>
      </c>
      <c r="F8" s="694" t="s">
        <v>240</v>
      </c>
      <c r="G8" s="694" t="s">
        <v>49</v>
      </c>
      <c r="H8" s="694" t="s">
        <v>54</v>
      </c>
      <c r="I8" s="697" t="s">
        <v>14</v>
      </c>
    </row>
    <row r="9" spans="1:9">
      <c r="A9" s="9"/>
      <c r="B9" s="97" t="s">
        <v>684</v>
      </c>
      <c r="C9" s="418" t="str">
        <f>DADOS_CONSULT!$A$27</f>
        <v>P8044</v>
      </c>
      <c r="D9" s="81" t="s">
        <v>237</v>
      </c>
      <c r="E9" s="695">
        <v>1</v>
      </c>
      <c r="F9" s="695">
        <v>44</v>
      </c>
      <c r="G9" s="695">
        <f>F9*E9</f>
        <v>44</v>
      </c>
      <c r="H9" s="644">
        <f>DADOS_CONSULT!D38/22</f>
        <v>436.06318181818182</v>
      </c>
      <c r="I9" s="647">
        <f>H9*G9</f>
        <v>19186.78</v>
      </c>
    </row>
    <row r="10" spans="1:9">
      <c r="A10" s="9"/>
      <c r="B10" s="97" t="s">
        <v>685</v>
      </c>
      <c r="C10" s="418" t="str">
        <f>DADOS_CONSULT!$A$27</f>
        <v>P8044</v>
      </c>
      <c r="D10" s="81" t="s">
        <v>237</v>
      </c>
      <c r="E10" s="695">
        <v>1</v>
      </c>
      <c r="F10" s="695">
        <v>44</v>
      </c>
      <c r="G10" s="695">
        <f>F10*E10</f>
        <v>44</v>
      </c>
      <c r="H10" s="644">
        <f>DADOS_CONSULT!D38/22</f>
        <v>436.06318181818182</v>
      </c>
      <c r="I10" s="647">
        <f>H10*G10</f>
        <v>19186.78</v>
      </c>
    </row>
    <row r="11" spans="1:9">
      <c r="A11" s="9"/>
      <c r="B11" s="97" t="s">
        <v>686</v>
      </c>
      <c r="C11" s="418" t="str">
        <f>DADOS_CONSULT!$A$27</f>
        <v>P8044</v>
      </c>
      <c r="D11" s="81" t="s">
        <v>237</v>
      </c>
      <c r="E11" s="695">
        <v>1</v>
      </c>
      <c r="F11" s="695">
        <v>44</v>
      </c>
      <c r="G11" s="695">
        <f>F11*E11</f>
        <v>44</v>
      </c>
      <c r="H11" s="644">
        <f>DADOS_CONSULT!D38/22</f>
        <v>436.06318181818182</v>
      </c>
      <c r="I11" s="647">
        <f>H11*G11</f>
        <v>19186.78</v>
      </c>
    </row>
    <row r="12" spans="1:9">
      <c r="A12" s="9"/>
      <c r="B12" s="97" t="s">
        <v>687</v>
      </c>
      <c r="C12" s="418" t="str">
        <f>DADOS_CONSULT!$A$27</f>
        <v>P8044</v>
      </c>
      <c r="D12" s="81" t="s">
        <v>237</v>
      </c>
      <c r="E12" s="695">
        <v>1</v>
      </c>
      <c r="F12" s="695">
        <v>44</v>
      </c>
      <c r="G12" s="695">
        <f>F12*E12</f>
        <v>44</v>
      </c>
      <c r="H12" s="644">
        <f>DADOS_CONSULT!D38/22</f>
        <v>436.06318181818182</v>
      </c>
      <c r="I12" s="647">
        <f>H12*G12</f>
        <v>19186.78</v>
      </c>
    </row>
    <row r="13" spans="1:9">
      <c r="A13" s="9"/>
      <c r="B13" s="97"/>
      <c r="C13" s="695"/>
      <c r="D13" s="81"/>
      <c r="E13" s="695"/>
      <c r="F13" s="695"/>
      <c r="G13" s="695"/>
      <c r="H13" s="644"/>
      <c r="I13" s="647"/>
    </row>
    <row r="14" spans="1:9">
      <c r="A14" s="9"/>
      <c r="B14" s="676" t="s">
        <v>644</v>
      </c>
      <c r="C14" s="698"/>
      <c r="D14" s="81"/>
      <c r="E14" s="698"/>
      <c r="F14" s="698"/>
      <c r="G14" s="698"/>
      <c r="H14" s="645"/>
      <c r="I14" s="648">
        <f>SUM(I9:I12)</f>
        <v>76747.12</v>
      </c>
    </row>
    <row r="15" spans="1:9">
      <c r="A15" s="9"/>
      <c r="B15" s="98"/>
      <c r="C15" s="698"/>
      <c r="D15" s="81"/>
      <c r="E15" s="698"/>
      <c r="F15" s="698"/>
      <c r="G15" s="698"/>
      <c r="H15" s="645"/>
      <c r="I15" s="648"/>
    </row>
    <row r="16" spans="1:9">
      <c r="A16" s="9"/>
      <c r="B16" s="77" t="s">
        <v>651</v>
      </c>
      <c r="C16" s="76"/>
      <c r="D16" s="695"/>
      <c r="E16" s="695"/>
      <c r="F16" s="695"/>
      <c r="G16" s="695"/>
      <c r="H16" s="644"/>
      <c r="I16" s="647"/>
    </row>
    <row r="17" spans="1:9">
      <c r="A17" s="9"/>
      <c r="B17" s="97" t="s">
        <v>684</v>
      </c>
      <c r="C17" s="76"/>
      <c r="D17" s="695"/>
      <c r="E17" s="695"/>
      <c r="F17" s="695"/>
      <c r="G17" s="83">
        <f>DADOS_CONSULT!$W$27/100</f>
        <v>0.84819999999999995</v>
      </c>
      <c r="H17" s="644">
        <v>1</v>
      </c>
      <c r="I17" s="647">
        <f>G17*H17*I9</f>
        <v>16274.226795999999</v>
      </c>
    </row>
    <row r="18" spans="1:9">
      <c r="A18" s="9"/>
      <c r="B18" s="97" t="s">
        <v>685</v>
      </c>
      <c r="C18" s="76"/>
      <c r="D18" s="695"/>
      <c r="E18" s="695"/>
      <c r="F18" s="695"/>
      <c r="G18" s="83">
        <f>DADOS_CONSULT!$W$27/100</f>
        <v>0.84819999999999995</v>
      </c>
      <c r="H18" s="644">
        <v>1</v>
      </c>
      <c r="I18" s="647">
        <f>G18*H18*I10</f>
        <v>16274.226795999999</v>
      </c>
    </row>
    <row r="19" spans="1:9">
      <c r="A19" s="9"/>
      <c r="B19" s="97" t="s">
        <v>686</v>
      </c>
      <c r="C19" s="76"/>
      <c r="D19" s="695"/>
      <c r="E19" s="695"/>
      <c r="F19" s="695"/>
      <c r="G19" s="83">
        <f>DADOS_CONSULT!$W$27/100</f>
        <v>0.84819999999999995</v>
      </c>
      <c r="H19" s="644">
        <v>1</v>
      </c>
      <c r="I19" s="647">
        <f t="shared" ref="I19:I20" si="0">G19*H19*I11</f>
        <v>16274.226795999999</v>
      </c>
    </row>
    <row r="20" spans="1:9">
      <c r="A20" s="9"/>
      <c r="B20" s="97" t="s">
        <v>687</v>
      </c>
      <c r="C20" s="76"/>
      <c r="D20" s="695"/>
      <c r="E20" s="695"/>
      <c r="F20" s="695"/>
      <c r="G20" s="83">
        <f>DADOS_CONSULT!$W$27/100</f>
        <v>0.84819999999999995</v>
      </c>
      <c r="H20" s="644">
        <v>1</v>
      </c>
      <c r="I20" s="647">
        <f t="shared" si="0"/>
        <v>16274.226795999999</v>
      </c>
    </row>
    <row r="21" spans="1:9">
      <c r="A21" s="9"/>
      <c r="B21" s="510"/>
      <c r="C21" s="76"/>
      <c r="D21" s="695"/>
      <c r="E21" s="695"/>
      <c r="F21" s="695"/>
      <c r="G21" s="83"/>
      <c r="H21" s="644"/>
      <c r="I21" s="647"/>
    </row>
    <row r="22" spans="1:9">
      <c r="A22" s="9"/>
      <c r="B22" s="676" t="s">
        <v>645</v>
      </c>
      <c r="C22" s="76"/>
      <c r="D22" s="695"/>
      <c r="E22" s="695"/>
      <c r="F22" s="695"/>
      <c r="G22" s="83"/>
      <c r="H22" s="644"/>
      <c r="I22" s="646">
        <f>SUM(I17:I20)</f>
        <v>65096.907183999996</v>
      </c>
    </row>
    <row r="23" spans="1:9">
      <c r="A23" s="9"/>
      <c r="B23" s="1043"/>
      <c r="C23" s="953"/>
      <c r="D23" s="953"/>
      <c r="E23" s="953"/>
      <c r="F23" s="953"/>
      <c r="G23" s="953"/>
      <c r="H23" s="953"/>
      <c r="I23" s="954"/>
    </row>
    <row r="24" spans="1:9">
      <c r="A24" s="9"/>
      <c r="B24" s="77" t="s">
        <v>671</v>
      </c>
      <c r="C24" s="76"/>
      <c r="D24" s="694"/>
      <c r="E24" s="76"/>
      <c r="F24" s="76"/>
      <c r="G24" s="76"/>
      <c r="H24" s="76"/>
      <c r="I24" s="231"/>
    </row>
    <row r="25" spans="1:9">
      <c r="A25" s="9"/>
      <c r="B25" s="77" t="s">
        <v>184</v>
      </c>
      <c r="C25" s="76"/>
      <c r="D25" s="694"/>
      <c r="E25" s="694" t="s">
        <v>48</v>
      </c>
      <c r="F25" s="694" t="s">
        <v>60</v>
      </c>
      <c r="G25" s="694" t="s">
        <v>638</v>
      </c>
      <c r="H25" s="694" t="s">
        <v>54</v>
      </c>
      <c r="I25" s="697" t="s">
        <v>14</v>
      </c>
    </row>
    <row r="26" spans="1:9">
      <c r="A26" s="9"/>
      <c r="B26" s="65" t="str">
        <f>DADOS!H10</f>
        <v>CAMINHONETE - 140 A 165 CV</v>
      </c>
      <c r="C26" s="76"/>
      <c r="D26" s="695"/>
      <c r="E26" s="695" t="s">
        <v>493</v>
      </c>
      <c r="F26" s="695" t="s">
        <v>493</v>
      </c>
      <c r="G26" s="92" t="s">
        <v>493</v>
      </c>
      <c r="H26" s="644" t="s">
        <v>493</v>
      </c>
      <c r="I26" s="675" t="s">
        <v>493</v>
      </c>
    </row>
    <row r="27" spans="1:9">
      <c r="A27" s="9"/>
      <c r="B27" s="676" t="s">
        <v>646</v>
      </c>
      <c r="C27" s="76"/>
      <c r="D27" s="695"/>
      <c r="E27" s="695"/>
      <c r="F27" s="695"/>
      <c r="G27" s="83"/>
      <c r="H27" s="644"/>
      <c r="I27" s="674">
        <f>SUM(I26)</f>
        <v>0</v>
      </c>
    </row>
    <row r="28" spans="1:9">
      <c r="A28" s="9"/>
      <c r="B28" s="910"/>
      <c r="C28" s="901"/>
      <c r="D28" s="901"/>
      <c r="E28" s="901"/>
      <c r="F28" s="901"/>
      <c r="G28" s="901"/>
      <c r="H28" s="901"/>
      <c r="I28" s="1071"/>
    </row>
    <row r="29" spans="1:9">
      <c r="A29" s="9"/>
      <c r="B29" s="913" t="s">
        <v>86</v>
      </c>
      <c r="C29" s="914"/>
      <c r="D29" s="914"/>
      <c r="E29" s="914"/>
      <c r="F29" s="914"/>
      <c r="G29" s="914"/>
      <c r="H29" s="914"/>
      <c r="I29" s="233">
        <f>SUM(I14+I22)</f>
        <v>141844.02718400001</v>
      </c>
    </row>
    <row r="30" spans="1:9">
      <c r="A30" s="9"/>
      <c r="B30" s="915"/>
      <c r="C30" s="916"/>
      <c r="D30" s="916"/>
      <c r="E30" s="916"/>
      <c r="F30" s="916"/>
      <c r="G30" s="916"/>
      <c r="H30" s="916"/>
      <c r="I30" s="917"/>
    </row>
    <row r="31" spans="1:9">
      <c r="A31" s="9"/>
      <c r="B31" s="900" t="s">
        <v>38</v>
      </c>
      <c r="C31" s="901"/>
      <c r="D31" s="902"/>
      <c r="E31" s="575"/>
      <c r="F31" s="575"/>
      <c r="G31" s="579"/>
      <c r="H31" s="580"/>
      <c r="I31" s="581"/>
    </row>
    <row r="32" spans="1:9">
      <c r="A32" s="9"/>
      <c r="B32" s="649" t="s">
        <v>649</v>
      </c>
      <c r="C32" s="653"/>
      <c r="D32" s="658"/>
      <c r="E32" s="653"/>
      <c r="F32" s="653"/>
      <c r="G32" s="650"/>
      <c r="H32" s="653"/>
      <c r="I32" s="581"/>
    </row>
    <row r="33" spans="1:9">
      <c r="A33" s="9"/>
      <c r="B33" s="656" t="s">
        <v>639</v>
      </c>
      <c r="C33" s="653"/>
      <c r="D33" s="658"/>
      <c r="E33" s="653"/>
      <c r="F33" s="653"/>
      <c r="G33" s="651">
        <v>0.1</v>
      </c>
      <c r="H33" s="653"/>
      <c r="I33" s="606">
        <f>G33*$I$29</f>
        <v>14184.402718400001</v>
      </c>
    </row>
    <row r="34" spans="1:9">
      <c r="A34" s="9"/>
      <c r="B34" s="656" t="s">
        <v>640</v>
      </c>
      <c r="C34" s="653"/>
      <c r="D34" s="658"/>
      <c r="E34" s="653"/>
      <c r="F34" s="653"/>
      <c r="G34" s="651">
        <v>2.5000000000000001E-3</v>
      </c>
      <c r="H34" s="653"/>
      <c r="I34" s="606">
        <f>G34*$I$29</f>
        <v>354.61006796000004</v>
      </c>
    </row>
    <row r="35" spans="1:9">
      <c r="A35" s="9"/>
      <c r="B35" s="656" t="s">
        <v>641</v>
      </c>
      <c r="C35" s="653"/>
      <c r="D35" s="658"/>
      <c r="E35" s="653"/>
      <c r="F35" s="653"/>
      <c r="G35" s="651">
        <v>7.1999999999999998E-3</v>
      </c>
      <c r="H35" s="653"/>
      <c r="I35" s="606">
        <f>G35*$I$29</f>
        <v>1021.2769957248</v>
      </c>
    </row>
    <row r="36" spans="1:9">
      <c r="A36" s="9"/>
      <c r="B36" s="656" t="s">
        <v>642</v>
      </c>
      <c r="C36" s="653"/>
      <c r="D36" s="658"/>
      <c r="E36" s="653"/>
      <c r="F36" s="653"/>
      <c r="G36" s="651">
        <v>1.4E-3</v>
      </c>
      <c r="H36" s="653"/>
      <c r="I36" s="606">
        <f>G36*$I$29</f>
        <v>198.5816380576</v>
      </c>
    </row>
    <row r="37" spans="1:9">
      <c r="A37" s="9"/>
      <c r="B37" s="603" t="s">
        <v>648</v>
      </c>
      <c r="C37" s="653"/>
      <c r="D37" s="658"/>
      <c r="E37" s="653"/>
      <c r="F37" s="653"/>
      <c r="G37" s="651">
        <v>0.1111</v>
      </c>
      <c r="H37" s="653"/>
      <c r="I37" s="157">
        <f>SUM(I33:I36)</f>
        <v>15758.871420142401</v>
      </c>
    </row>
    <row r="38" spans="1:9">
      <c r="A38" s="9"/>
      <c r="B38" s="649"/>
      <c r="C38" s="653"/>
      <c r="D38" s="658"/>
      <c r="E38" s="653"/>
      <c r="F38" s="653"/>
      <c r="G38" s="653"/>
      <c r="H38" s="653"/>
      <c r="I38" s="581"/>
    </row>
    <row r="39" spans="1:9">
      <c r="A39" s="9"/>
      <c r="B39" s="649" t="s">
        <v>654</v>
      </c>
      <c r="C39" s="653"/>
      <c r="D39" s="658"/>
      <c r="E39" s="653"/>
      <c r="F39" s="653"/>
      <c r="G39" s="653"/>
      <c r="H39" s="653"/>
      <c r="I39" s="581"/>
    </row>
    <row r="40" spans="1:9">
      <c r="A40" s="9"/>
      <c r="B40" s="649" t="s">
        <v>673</v>
      </c>
      <c r="C40" s="653"/>
      <c r="D40" s="658"/>
      <c r="E40" s="653"/>
      <c r="F40" s="653"/>
      <c r="G40" s="651">
        <v>0.12</v>
      </c>
      <c r="H40" s="653"/>
      <c r="I40" s="604">
        <f>G40*I29</f>
        <v>17021.28326208</v>
      </c>
    </row>
    <row r="41" spans="1:9">
      <c r="A41" s="9"/>
      <c r="B41" s="649"/>
      <c r="C41" s="653"/>
      <c r="D41" s="658"/>
      <c r="E41" s="653"/>
      <c r="F41" s="653"/>
      <c r="G41" s="653"/>
      <c r="H41" s="653"/>
      <c r="I41" s="581"/>
    </row>
    <row r="42" spans="1:9">
      <c r="A42" s="9"/>
      <c r="B42" s="649" t="s">
        <v>655</v>
      </c>
      <c r="C42" s="653"/>
      <c r="D42" s="658"/>
      <c r="E42" s="653"/>
      <c r="F42" s="653"/>
      <c r="G42" s="651"/>
      <c r="H42" s="653"/>
      <c r="I42" s="581"/>
    </row>
    <row r="43" spans="1:9">
      <c r="A43" s="9"/>
      <c r="B43" s="656" t="s">
        <v>656</v>
      </c>
      <c r="C43" s="653"/>
      <c r="D43" s="658"/>
      <c r="E43" s="653"/>
      <c r="F43" s="653"/>
      <c r="G43" s="651">
        <v>2.3699999999999999E-2</v>
      </c>
      <c r="H43" s="653"/>
      <c r="I43" s="606">
        <f>G43*$I$29</f>
        <v>3361.7034442608001</v>
      </c>
    </row>
    <row r="44" spans="1:9">
      <c r="A44" s="9"/>
      <c r="B44" s="656" t="s">
        <v>657</v>
      </c>
      <c r="C44" s="653"/>
      <c r="D44" s="658"/>
      <c r="E44" s="653"/>
      <c r="F44" s="653"/>
      <c r="G44" s="651">
        <v>0.1091</v>
      </c>
      <c r="H44" s="653"/>
      <c r="I44" s="606">
        <f>G44*$I$29</f>
        <v>15475.183365774401</v>
      </c>
    </row>
    <row r="45" spans="1:9">
      <c r="A45" s="9"/>
      <c r="B45" s="656" t="s">
        <v>658</v>
      </c>
      <c r="C45" s="653"/>
      <c r="D45" s="658"/>
      <c r="E45" s="653"/>
      <c r="F45" s="653"/>
      <c r="G45" s="651">
        <v>7.1800000000000003E-2</v>
      </c>
      <c r="H45" s="653"/>
      <c r="I45" s="606">
        <f>G45*$I$29</f>
        <v>10184.4011518112</v>
      </c>
    </row>
    <row r="46" spans="1:9">
      <c r="A46" s="9"/>
      <c r="B46" s="649"/>
      <c r="C46" s="653"/>
      <c r="D46" s="658"/>
      <c r="E46" s="653"/>
      <c r="F46" s="653"/>
      <c r="G46" s="650"/>
      <c r="H46" s="653"/>
      <c r="I46" s="157">
        <f>SUM(I43:I45)</f>
        <v>29021.287961846399</v>
      </c>
    </row>
    <row r="47" spans="1:9">
      <c r="A47" s="9"/>
      <c r="B47" s="925"/>
      <c r="C47" s="926"/>
      <c r="D47" s="926"/>
      <c r="E47" s="926"/>
      <c r="F47" s="926"/>
      <c r="G47" s="926"/>
      <c r="H47" s="926"/>
      <c r="I47" s="927"/>
    </row>
    <row r="48" spans="1:9">
      <c r="B48" s="913" t="s">
        <v>202</v>
      </c>
      <c r="C48" s="914"/>
      <c r="D48" s="914"/>
      <c r="E48" s="914"/>
      <c r="F48" s="914"/>
      <c r="G48" s="914"/>
      <c r="H48" s="914"/>
      <c r="I48" s="233">
        <f>I37+I40+I46</f>
        <v>61801.442644068804</v>
      </c>
    </row>
    <row r="49" spans="1:9">
      <c r="A49" s="9"/>
      <c r="B49" s="918"/>
      <c r="C49" s="919"/>
      <c r="D49" s="919"/>
      <c r="E49" s="919"/>
      <c r="F49" s="919"/>
      <c r="G49" s="919"/>
      <c r="H49" s="919"/>
      <c r="I49" s="920"/>
    </row>
    <row r="50" spans="1:9" ht="13.5" thickBot="1">
      <c r="A50" s="9"/>
      <c r="B50" s="921" t="s">
        <v>203</v>
      </c>
      <c r="C50" s="922"/>
      <c r="D50" s="922"/>
      <c r="E50" s="922"/>
      <c r="F50" s="922"/>
      <c r="G50" s="922"/>
      <c r="H50" s="922"/>
      <c r="I50" s="85">
        <f>SUM(I29+I48)</f>
        <v>203645.4698280688</v>
      </c>
    </row>
    <row r="51" spans="1:9" ht="13.5" thickBot="1">
      <c r="A51" s="9"/>
      <c r="B51" s="372"/>
      <c r="C51" s="623"/>
      <c r="D51" s="623"/>
      <c r="E51" s="623"/>
      <c r="F51" s="623"/>
      <c r="G51" s="623"/>
      <c r="H51" s="623"/>
      <c r="I51" s="373"/>
    </row>
  </sheetData>
  <mergeCells count="18">
    <mergeCell ref="B49:I49"/>
    <mergeCell ref="B50:H50"/>
    <mergeCell ref="B28:I28"/>
    <mergeCell ref="B29:H29"/>
    <mergeCell ref="B30:I30"/>
    <mergeCell ref="B31:D31"/>
    <mergeCell ref="B47:I47"/>
    <mergeCell ref="B48:H48"/>
    <mergeCell ref="B1:I1"/>
    <mergeCell ref="B2:I2"/>
    <mergeCell ref="B3:I3"/>
    <mergeCell ref="C4:I4"/>
    <mergeCell ref="C5:I5"/>
    <mergeCell ref="B6:C6"/>
    <mergeCell ref="E6:G6"/>
    <mergeCell ref="H6:I6"/>
    <mergeCell ref="B7:C7"/>
    <mergeCell ref="B23:I2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K43"/>
  <sheetViews>
    <sheetView zoomScaleNormal="100" zoomScaleSheetLayoutView="110" workbookViewId="0">
      <selection activeCell="L18" sqref="L18"/>
    </sheetView>
  </sheetViews>
  <sheetFormatPr defaultColWidth="11.42578125" defaultRowHeight="14.1" customHeight="1"/>
  <cols>
    <col min="1" max="1" width="2.85546875" customWidth="1"/>
    <col min="2" max="2" width="41.85546875" customWidth="1"/>
    <col min="3" max="3" width="10.42578125" customWidth="1"/>
    <col min="4" max="5" width="11" customWidth="1"/>
    <col min="6" max="6" width="13.140625" customWidth="1"/>
    <col min="7" max="7" width="14.140625" customWidth="1"/>
    <col min="8" max="8" width="15.140625" customWidth="1"/>
    <col min="9" max="9" width="15.85546875" customWidth="1"/>
  </cols>
  <sheetData>
    <row r="1" spans="2:10" ht="10.5" customHeight="1" thickBot="1"/>
    <row r="2" spans="2:10" ht="18" customHeight="1">
      <c r="B2" s="777" t="str">
        <f>DADOS!D27</f>
        <v>GESTÃO AMBIENTAL - BR-158/MT</v>
      </c>
      <c r="C2" s="778"/>
      <c r="D2" s="778"/>
      <c r="E2" s="778"/>
      <c r="F2" s="778"/>
      <c r="G2" s="778"/>
      <c r="H2" s="778"/>
      <c r="I2" s="779"/>
    </row>
    <row r="3" spans="2:10" ht="16.5" customHeight="1">
      <c r="B3" s="780" t="s">
        <v>45</v>
      </c>
      <c r="C3" s="781"/>
      <c r="D3" s="781"/>
      <c r="E3" s="781"/>
      <c r="F3" s="781"/>
      <c r="G3" s="781"/>
      <c r="H3" s="781"/>
      <c r="I3" s="782"/>
    </row>
    <row r="4" spans="2:10" ht="14.1" customHeight="1">
      <c r="B4" s="783">
        <f>DADOS!E30</f>
        <v>43831</v>
      </c>
      <c r="C4" s="784"/>
      <c r="D4" s="784"/>
      <c r="E4" s="784"/>
      <c r="F4" s="784"/>
      <c r="G4" s="784"/>
      <c r="H4" s="784"/>
      <c r="I4" s="785"/>
    </row>
    <row r="5" spans="2:10" ht="13.5" customHeight="1">
      <c r="B5" s="789" t="s">
        <v>191</v>
      </c>
      <c r="C5" s="790"/>
      <c r="D5" s="790"/>
      <c r="E5" s="790"/>
      <c r="F5" s="790"/>
      <c r="G5" s="790"/>
      <c r="H5" s="790"/>
      <c r="I5" s="791"/>
    </row>
    <row r="6" spans="2:10" ht="14.1" customHeight="1">
      <c r="B6" s="786" t="s">
        <v>25</v>
      </c>
      <c r="C6" s="787"/>
      <c r="D6" s="787"/>
      <c r="E6" s="787"/>
      <c r="F6" s="787"/>
      <c r="G6" s="787"/>
      <c r="H6" s="787"/>
      <c r="I6" s="788"/>
    </row>
    <row r="7" spans="2:10" ht="26.25" customHeight="1">
      <c r="B7" s="245" t="s">
        <v>25</v>
      </c>
      <c r="C7" s="69" t="s">
        <v>76</v>
      </c>
      <c r="D7" s="241" t="s">
        <v>182</v>
      </c>
      <c r="E7" s="69" t="s">
        <v>77</v>
      </c>
      <c r="F7" s="242" t="s">
        <v>78</v>
      </c>
      <c r="G7" s="242" t="s">
        <v>79</v>
      </c>
      <c r="H7" s="243" t="s">
        <v>81</v>
      </c>
      <c r="I7" s="246" t="s">
        <v>34</v>
      </c>
    </row>
    <row r="8" spans="2:10" ht="27" customHeight="1">
      <c r="B8" s="426" t="s">
        <v>183</v>
      </c>
      <c r="C8" s="427">
        <v>1</v>
      </c>
      <c r="D8" s="428">
        <v>3</v>
      </c>
      <c r="E8" s="429" t="s">
        <v>18</v>
      </c>
      <c r="F8" s="429">
        <v>50</v>
      </c>
      <c r="G8" s="429" t="s">
        <v>80</v>
      </c>
      <c r="H8" s="430">
        <f>DADOS!I26</f>
        <v>0.3</v>
      </c>
      <c r="I8" s="431">
        <f>H8*F8*D8*C8</f>
        <v>45</v>
      </c>
    </row>
    <row r="9" spans="2:10" ht="20.25" customHeight="1">
      <c r="B9" s="757" t="s">
        <v>211</v>
      </c>
      <c r="C9" s="755">
        <v>25</v>
      </c>
      <c r="D9" s="759">
        <v>3</v>
      </c>
      <c r="E9" s="432" t="s">
        <v>18</v>
      </c>
      <c r="F9" s="429">
        <v>100</v>
      </c>
      <c r="G9" s="429" t="s">
        <v>80</v>
      </c>
      <c r="H9" s="430">
        <f>DADOS!I26</f>
        <v>0.3</v>
      </c>
      <c r="I9" s="431">
        <f>H9*F9*D9*C9</f>
        <v>2250</v>
      </c>
    </row>
    <row r="10" spans="2:10" ht="19.5" customHeight="1">
      <c r="B10" s="758"/>
      <c r="C10" s="756"/>
      <c r="D10" s="760"/>
      <c r="E10" s="432" t="s">
        <v>87</v>
      </c>
      <c r="F10" s="429">
        <v>50</v>
      </c>
      <c r="G10" s="429" t="s">
        <v>80</v>
      </c>
      <c r="H10" s="430">
        <f>DADOS!I28</f>
        <v>2.13</v>
      </c>
      <c r="I10" s="431">
        <f>H10*F10*D9*C9</f>
        <v>7987.5</v>
      </c>
    </row>
    <row r="11" spans="2:10" ht="19.5" customHeight="1">
      <c r="B11" s="757" t="s">
        <v>196</v>
      </c>
      <c r="C11" s="755">
        <v>25</v>
      </c>
      <c r="D11" s="759">
        <v>3</v>
      </c>
      <c r="E11" s="432" t="s">
        <v>18</v>
      </c>
      <c r="F11" s="429">
        <v>100</v>
      </c>
      <c r="G11" s="429" t="s">
        <v>80</v>
      </c>
      <c r="H11" s="430">
        <f>DADOS!I26</f>
        <v>0.3</v>
      </c>
      <c r="I11" s="431">
        <f>H11*F11*D11*C11</f>
        <v>2250</v>
      </c>
    </row>
    <row r="12" spans="2:10" ht="19.5" customHeight="1">
      <c r="B12" s="758"/>
      <c r="C12" s="756"/>
      <c r="D12" s="760"/>
      <c r="E12" s="432" t="s">
        <v>87</v>
      </c>
      <c r="F12" s="429">
        <v>50</v>
      </c>
      <c r="G12" s="429" t="s">
        <v>80</v>
      </c>
      <c r="H12" s="430">
        <f>DADOS!I28</f>
        <v>2.13</v>
      </c>
      <c r="I12" s="431">
        <f>H12*F12*D11*C11</f>
        <v>7987.5</v>
      </c>
    </row>
    <row r="13" spans="2:10" ht="20.25" customHeight="1">
      <c r="B13" s="757" t="s">
        <v>220</v>
      </c>
      <c r="C13" s="755">
        <f>J13</f>
        <v>63</v>
      </c>
      <c r="D13" s="759">
        <v>3</v>
      </c>
      <c r="E13" s="432" t="s">
        <v>18</v>
      </c>
      <c r="F13" s="429">
        <v>100</v>
      </c>
      <c r="G13" s="429" t="s">
        <v>80</v>
      </c>
      <c r="H13" s="430">
        <f>DADOS!I26</f>
        <v>0.3</v>
      </c>
      <c r="I13" s="431">
        <f>H13*F13*D13*C13</f>
        <v>5670</v>
      </c>
      <c r="J13">
        <f>1+1+1+12+24+24</f>
        <v>63</v>
      </c>
    </row>
    <row r="14" spans="2:10" ht="20.25" customHeight="1">
      <c r="B14" s="758"/>
      <c r="C14" s="761"/>
      <c r="D14" s="760"/>
      <c r="E14" s="432" t="s">
        <v>87</v>
      </c>
      <c r="F14" s="429">
        <v>50</v>
      </c>
      <c r="G14" s="429" t="s">
        <v>80</v>
      </c>
      <c r="H14" s="430">
        <f>DADOS!I28</f>
        <v>2.13</v>
      </c>
      <c r="I14" s="431">
        <f>H14*F14*D13*C13</f>
        <v>20128.5</v>
      </c>
    </row>
    <row r="15" spans="2:10" ht="23.25" customHeight="1">
      <c r="B15" s="757" t="s">
        <v>221</v>
      </c>
      <c r="C15" s="755">
        <f>J15</f>
        <v>27</v>
      </c>
      <c r="D15" s="759">
        <v>3</v>
      </c>
      <c r="E15" s="432" t="s">
        <v>18</v>
      </c>
      <c r="F15" s="429">
        <v>100</v>
      </c>
      <c r="G15" s="429" t="s">
        <v>80</v>
      </c>
      <c r="H15" s="430">
        <f>DADOS!I26</f>
        <v>0.3</v>
      </c>
      <c r="I15" s="431">
        <f>H15*F15*D15*C15</f>
        <v>2430</v>
      </c>
      <c r="J15">
        <f>1+1+1+1+7+8+8</f>
        <v>27</v>
      </c>
    </row>
    <row r="16" spans="2:10" ht="27" customHeight="1">
      <c r="B16" s="758"/>
      <c r="C16" s="761"/>
      <c r="D16" s="760"/>
      <c r="E16" s="432" t="s">
        <v>87</v>
      </c>
      <c r="F16" s="429">
        <v>50</v>
      </c>
      <c r="G16" s="429" t="s">
        <v>80</v>
      </c>
      <c r="H16" s="430">
        <f>DADOS!I28</f>
        <v>2.13</v>
      </c>
      <c r="I16" s="431">
        <f>H16*F16*D15*C15</f>
        <v>8626.5</v>
      </c>
    </row>
    <row r="17" spans="2:11" ht="27" customHeight="1">
      <c r="B17" s="757" t="s">
        <v>223</v>
      </c>
      <c r="C17" s="755">
        <f>J17</f>
        <v>9</v>
      </c>
      <c r="D17" s="759">
        <v>3</v>
      </c>
      <c r="E17" s="432" t="s">
        <v>18</v>
      </c>
      <c r="F17" s="429">
        <v>100</v>
      </c>
      <c r="G17" s="429" t="s">
        <v>80</v>
      </c>
      <c r="H17" s="430">
        <f>DADOS!I26</f>
        <v>0.3</v>
      </c>
      <c r="I17" s="431">
        <f>H17*F17*D17*C17</f>
        <v>810</v>
      </c>
      <c r="J17">
        <f>9</f>
        <v>9</v>
      </c>
    </row>
    <row r="18" spans="2:11" ht="27" customHeight="1">
      <c r="B18" s="758"/>
      <c r="C18" s="761"/>
      <c r="D18" s="760"/>
      <c r="E18" s="432" t="s">
        <v>87</v>
      </c>
      <c r="F18" s="429">
        <v>50</v>
      </c>
      <c r="G18" s="429" t="s">
        <v>80</v>
      </c>
      <c r="H18" s="430">
        <f>DADOS!I28</f>
        <v>2.13</v>
      </c>
      <c r="I18" s="431">
        <f>H18*F18*D17*C17</f>
        <v>2875.5</v>
      </c>
    </row>
    <row r="19" spans="2:11" ht="16.5" customHeight="1">
      <c r="B19" s="757" t="s">
        <v>218</v>
      </c>
      <c r="C19" s="766">
        <v>4</v>
      </c>
      <c r="D19" s="759">
        <v>3</v>
      </c>
      <c r="E19" s="432" t="s">
        <v>18</v>
      </c>
      <c r="F19" s="429">
        <v>150</v>
      </c>
      <c r="G19" s="429" t="s">
        <v>80</v>
      </c>
      <c r="H19" s="430">
        <f>DADOS!I26</f>
        <v>0.3</v>
      </c>
      <c r="I19" s="431">
        <f>H19*F19*D19*C19</f>
        <v>540</v>
      </c>
      <c r="J19">
        <f>24/6</f>
        <v>4</v>
      </c>
    </row>
    <row r="20" spans="2:11" ht="16.5" customHeight="1">
      <c r="B20" s="758"/>
      <c r="C20" s="765"/>
      <c r="D20" s="765"/>
      <c r="E20" s="432" t="s">
        <v>87</v>
      </c>
      <c r="F20" s="429">
        <v>70</v>
      </c>
      <c r="G20" s="429" t="s">
        <v>80</v>
      </c>
      <c r="H20" s="430">
        <f>DADOS!I28</f>
        <v>2.13</v>
      </c>
      <c r="I20" s="431">
        <f>H20*F20*D19*C19</f>
        <v>1789.1999999999998</v>
      </c>
    </row>
    <row r="21" spans="2:11" ht="16.5" customHeight="1">
      <c r="B21" s="757" t="s">
        <v>219</v>
      </c>
      <c r="C21" s="766">
        <v>1</v>
      </c>
      <c r="D21" s="759">
        <v>3</v>
      </c>
      <c r="E21" s="432" t="s">
        <v>18</v>
      </c>
      <c r="F21" s="429">
        <v>500</v>
      </c>
      <c r="G21" s="429" t="s">
        <v>80</v>
      </c>
      <c r="H21" s="430">
        <f>DADOS!I26</f>
        <v>0.3</v>
      </c>
      <c r="I21" s="431">
        <f>H21*F21*D21*C21</f>
        <v>450</v>
      </c>
    </row>
    <row r="22" spans="2:11" ht="16.5" customHeight="1" thickBot="1">
      <c r="B22" s="758"/>
      <c r="C22" s="765"/>
      <c r="D22" s="765"/>
      <c r="E22" s="432" t="s">
        <v>87</v>
      </c>
      <c r="F22" s="433">
        <v>250</v>
      </c>
      <c r="G22" s="429" t="s">
        <v>80</v>
      </c>
      <c r="H22" s="430">
        <f>DADOS!I28</f>
        <v>2.13</v>
      </c>
      <c r="I22" s="431">
        <f>H22*F22*D21*C21</f>
        <v>1597.5</v>
      </c>
    </row>
    <row r="23" spans="2:11" ht="13.5" customHeight="1" thickBot="1">
      <c r="B23" s="767" t="s">
        <v>189</v>
      </c>
      <c r="C23" s="768"/>
      <c r="D23" s="768"/>
      <c r="E23" s="768"/>
      <c r="F23" s="768"/>
      <c r="G23" s="768"/>
      <c r="H23" s="769"/>
      <c r="I23" s="277">
        <f>SUM(I8:I22)</f>
        <v>65437.2</v>
      </c>
      <c r="K23" s="161"/>
    </row>
    <row r="24" spans="2:11" ht="13.5" customHeight="1">
      <c r="B24" s="770"/>
      <c r="C24" s="771"/>
      <c r="D24" s="771"/>
      <c r="E24" s="771"/>
      <c r="F24" s="771"/>
      <c r="G24" s="771"/>
      <c r="H24" s="771"/>
      <c r="I24" s="772"/>
      <c r="K24" s="161"/>
    </row>
    <row r="25" spans="2:11" ht="13.5" customHeight="1">
      <c r="B25" s="775" t="s">
        <v>190</v>
      </c>
      <c r="C25" s="776"/>
      <c r="D25" s="776"/>
      <c r="E25" s="776"/>
      <c r="F25" s="776"/>
      <c r="G25" s="776"/>
      <c r="H25" s="776"/>
      <c r="I25" s="231"/>
    </row>
    <row r="26" spans="2:11" ht="13.5" customHeight="1">
      <c r="B26" s="244" t="s">
        <v>31</v>
      </c>
      <c r="C26" s="79" t="s">
        <v>32</v>
      </c>
      <c r="D26" s="773" t="s">
        <v>30</v>
      </c>
      <c r="E26" s="773"/>
      <c r="F26" s="774"/>
      <c r="G26" s="79" t="s">
        <v>33</v>
      </c>
      <c r="H26" s="79" t="s">
        <v>34</v>
      </c>
      <c r="I26" s="231"/>
    </row>
    <row r="27" spans="2:11" ht="14.1" customHeight="1">
      <c r="B27" s="65"/>
      <c r="C27" s="76"/>
      <c r="D27" s="79" t="s">
        <v>48</v>
      </c>
      <c r="E27" s="79" t="s">
        <v>64</v>
      </c>
      <c r="F27" s="79" t="s">
        <v>49</v>
      </c>
      <c r="G27" s="76"/>
      <c r="H27" s="76"/>
      <c r="I27" s="231"/>
    </row>
    <row r="28" spans="2:11" ht="14.1" customHeight="1">
      <c r="B28" s="434" t="str">
        <f>DADOS!H10</f>
        <v>CAMINHONETE - 140 A 165 CV</v>
      </c>
      <c r="C28" s="435" t="s">
        <v>35</v>
      </c>
      <c r="D28" s="436">
        <v>1</v>
      </c>
      <c r="E28" s="435">
        <v>12</v>
      </c>
      <c r="F28" s="435">
        <f>E28*D28</f>
        <v>12</v>
      </c>
      <c r="G28" s="437">
        <f>DADOS!J10</f>
        <v>5032.5385531760967</v>
      </c>
      <c r="H28" s="437">
        <f>F28*G28</f>
        <v>60390.46263811316</v>
      </c>
      <c r="I28" s="231"/>
    </row>
    <row r="29" spans="2:11" ht="14.1" customHeight="1">
      <c r="B29" s="434" t="s">
        <v>198</v>
      </c>
      <c r="C29" s="435" t="s">
        <v>35</v>
      </c>
      <c r="D29" s="436">
        <v>1</v>
      </c>
      <c r="E29" s="435">
        <v>12</v>
      </c>
      <c r="F29" s="435">
        <f>E29*D29</f>
        <v>12</v>
      </c>
      <c r="G29" s="437">
        <f>DADOS!J32</f>
        <v>1889.718573837127</v>
      </c>
      <c r="H29" s="437">
        <f>F29*G29</f>
        <v>22676.622886045523</v>
      </c>
      <c r="I29" s="231"/>
    </row>
    <row r="30" spans="2:11" ht="14.1" customHeight="1">
      <c r="B30" s="434" t="s">
        <v>197</v>
      </c>
      <c r="C30" s="435" t="s">
        <v>35</v>
      </c>
      <c r="D30" s="436">
        <v>1</v>
      </c>
      <c r="E30" s="435">
        <v>12</v>
      </c>
      <c r="F30" s="435">
        <f>E30*D30</f>
        <v>12</v>
      </c>
      <c r="G30" s="437">
        <f>DADOS!J38</f>
        <v>812.73231017295177</v>
      </c>
      <c r="H30" s="437">
        <f>F30*G30</f>
        <v>9752.7877220754217</v>
      </c>
      <c r="I30" s="231"/>
    </row>
    <row r="31" spans="2:11" ht="14.1" customHeight="1">
      <c r="B31" s="438" t="s">
        <v>195</v>
      </c>
      <c r="C31" s="435"/>
      <c r="D31" s="436"/>
      <c r="E31" s="435"/>
      <c r="F31" s="435"/>
      <c r="G31" s="437"/>
      <c r="H31" s="439">
        <f>SUM(H28:H30)</f>
        <v>92819.873246234099</v>
      </c>
      <c r="I31" s="231"/>
    </row>
    <row r="32" spans="2:11" ht="14.1" customHeight="1">
      <c r="B32" s="434" t="s">
        <v>199</v>
      </c>
      <c r="C32" s="435" t="s">
        <v>35</v>
      </c>
      <c r="D32" s="436">
        <v>1</v>
      </c>
      <c r="E32" s="435">
        <v>12</v>
      </c>
      <c r="F32" s="435">
        <f>E32*D32</f>
        <v>12</v>
      </c>
      <c r="G32" s="437">
        <f>DADOS!J34</f>
        <v>1896.4541692978314</v>
      </c>
      <c r="H32" s="437">
        <f>F32*G32</f>
        <v>22757.450031573979</v>
      </c>
      <c r="I32" s="231"/>
    </row>
    <row r="33" spans="2:9" ht="14.1" customHeight="1">
      <c r="B33" s="434" t="s">
        <v>200</v>
      </c>
      <c r="C33" s="435" t="s">
        <v>35</v>
      </c>
      <c r="D33" s="436">
        <v>1</v>
      </c>
      <c r="E33" s="435">
        <v>12</v>
      </c>
      <c r="F33" s="435">
        <f>E33*D33</f>
        <v>12</v>
      </c>
      <c r="G33" s="437">
        <f>DADOS!J39</f>
        <v>677.29661986769577</v>
      </c>
      <c r="H33" s="437">
        <f>F33*G33</f>
        <v>8127.5594384123488</v>
      </c>
      <c r="I33" s="231"/>
    </row>
    <row r="34" spans="2:9" ht="14.1" customHeight="1">
      <c r="B34" s="440" t="s">
        <v>195</v>
      </c>
      <c r="C34" s="441"/>
      <c r="D34" s="442"/>
      <c r="E34" s="441"/>
      <c r="F34" s="441"/>
      <c r="G34" s="443"/>
      <c r="H34" s="444">
        <f>SUM(H32:H33)</f>
        <v>30885.009469986326</v>
      </c>
      <c r="I34" s="250"/>
    </row>
    <row r="35" spans="2:9" ht="6.75" customHeight="1">
      <c r="B35" s="445"/>
      <c r="C35" s="446"/>
      <c r="D35" s="447"/>
      <c r="E35" s="446"/>
      <c r="F35" s="446"/>
      <c r="G35" s="448"/>
      <c r="H35" s="449"/>
      <c r="I35" s="251"/>
    </row>
    <row r="36" spans="2:9" ht="14.1" customHeight="1">
      <c r="B36" s="275"/>
      <c r="C36" s="273"/>
      <c r="D36" s="273"/>
      <c r="E36" s="273"/>
      <c r="F36" s="273"/>
      <c r="G36" s="273"/>
      <c r="H36" s="274">
        <f>SUM(H31+H34)</f>
        <v>123704.88271622043</v>
      </c>
      <c r="I36" s="276"/>
    </row>
    <row r="37" spans="2:9" ht="9" customHeight="1" thickBot="1">
      <c r="B37" s="247"/>
      <c r="C37" s="138"/>
      <c r="D37" s="138"/>
      <c r="E37" s="138"/>
      <c r="F37" s="138"/>
      <c r="G37" s="138"/>
      <c r="H37" s="138"/>
      <c r="I37" s="248"/>
    </row>
    <row r="38" spans="2:9" ht="14.1" customHeight="1" thickBot="1">
      <c r="B38" s="762" t="s">
        <v>187</v>
      </c>
      <c r="C38" s="763"/>
      <c r="D38" s="763"/>
      <c r="E38" s="763"/>
      <c r="F38" s="763"/>
      <c r="G38" s="763"/>
      <c r="H38" s="764"/>
      <c r="I38" s="249">
        <f>H36+I23</f>
        <v>189142.08271622041</v>
      </c>
    </row>
    <row r="43" spans="2:9" ht="19.5" customHeight="1">
      <c r="B43" s="145"/>
    </row>
  </sheetData>
  <mergeCells count="31">
    <mergeCell ref="B2:I2"/>
    <mergeCell ref="B3:I3"/>
    <mergeCell ref="B4:I4"/>
    <mergeCell ref="B6:I6"/>
    <mergeCell ref="B5:I5"/>
    <mergeCell ref="B38:H38"/>
    <mergeCell ref="D19:D20"/>
    <mergeCell ref="C21:C22"/>
    <mergeCell ref="B23:H23"/>
    <mergeCell ref="B24:I24"/>
    <mergeCell ref="D21:D22"/>
    <mergeCell ref="D26:F26"/>
    <mergeCell ref="B25:H25"/>
    <mergeCell ref="B21:B22"/>
    <mergeCell ref="C19:C20"/>
    <mergeCell ref="C9:C10"/>
    <mergeCell ref="B11:B12"/>
    <mergeCell ref="D13:D14"/>
    <mergeCell ref="C13:C14"/>
    <mergeCell ref="B19:B20"/>
    <mergeCell ref="C15:C16"/>
    <mergeCell ref="D15:D16"/>
    <mergeCell ref="B17:B18"/>
    <mergeCell ref="C11:C12"/>
    <mergeCell ref="D9:D10"/>
    <mergeCell ref="D11:D12"/>
    <mergeCell ref="B9:B10"/>
    <mergeCell ref="C17:C18"/>
    <mergeCell ref="D17:D18"/>
    <mergeCell ref="B15:B16"/>
    <mergeCell ref="B13:B14"/>
  </mergeCells>
  <phoneticPr fontId="24" type="noConversion"/>
  <pageMargins left="0.511811024" right="0.511811024" top="0.78740157499999996" bottom="0.78740157499999996" header="0.31496062000000002" footer="0.31496062000000002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H40"/>
  <sheetViews>
    <sheetView topLeftCell="A37" zoomScaleNormal="100" zoomScaleSheetLayoutView="100" workbookViewId="0">
      <selection activeCell="AC13" sqref="AC13"/>
    </sheetView>
  </sheetViews>
  <sheetFormatPr defaultRowHeight="12.75"/>
  <cols>
    <col min="1" max="1" width="2.7109375" style="205" customWidth="1"/>
    <col min="2" max="2" width="6.28515625" style="205" customWidth="1"/>
    <col min="3" max="3" width="72" style="205" customWidth="1"/>
    <col min="4" max="4" width="1.5703125" style="205" hidden="1" customWidth="1"/>
    <col min="5" max="28" width="3.7109375" style="205" customWidth="1"/>
    <col min="29" max="29" width="5.5703125" style="344" customWidth="1"/>
    <col min="30" max="30" width="32.140625" style="205" customWidth="1"/>
    <col min="31" max="31" width="19.7109375" style="205" customWidth="1"/>
    <col min="32" max="32" width="16.42578125" style="205" customWidth="1"/>
    <col min="33" max="16384" width="9.140625" style="205"/>
  </cols>
  <sheetData>
    <row r="1" spans="2:32" ht="13.5" thickBot="1"/>
    <row r="2" spans="2:32" ht="15">
      <c r="B2" s="792" t="str">
        <f>DADOS!D27</f>
        <v>GESTÃO AMBIENTAL - BR-158/MT</v>
      </c>
      <c r="C2" s="793"/>
      <c r="D2" s="793"/>
      <c r="E2" s="793"/>
      <c r="F2" s="793"/>
      <c r="G2" s="793"/>
      <c r="H2" s="793"/>
      <c r="I2" s="793"/>
      <c r="J2" s="794"/>
      <c r="K2" s="794"/>
      <c r="L2" s="794"/>
      <c r="M2" s="794"/>
      <c r="N2" s="794"/>
      <c r="O2" s="794"/>
      <c r="P2" s="794"/>
      <c r="Q2" s="794"/>
      <c r="R2" s="794"/>
      <c r="S2" s="794"/>
      <c r="T2" s="794"/>
      <c r="U2" s="794"/>
      <c r="V2" s="794"/>
      <c r="W2" s="794"/>
      <c r="X2" s="794"/>
      <c r="Y2" s="794"/>
      <c r="Z2" s="794"/>
      <c r="AA2" s="794"/>
      <c r="AB2" s="794"/>
      <c r="AC2" s="795"/>
      <c r="AD2" s="796"/>
    </row>
    <row r="3" spans="2:32" ht="15">
      <c r="B3" s="797" t="s">
        <v>222</v>
      </c>
      <c r="C3" s="798"/>
      <c r="D3" s="798"/>
      <c r="E3" s="798"/>
      <c r="F3" s="798"/>
      <c r="G3" s="798"/>
      <c r="H3" s="798"/>
      <c r="I3" s="798"/>
      <c r="J3" s="799"/>
      <c r="K3" s="799"/>
      <c r="L3" s="799"/>
      <c r="M3" s="799"/>
      <c r="N3" s="799"/>
      <c r="O3" s="799"/>
      <c r="P3" s="799"/>
      <c r="Q3" s="799"/>
      <c r="R3" s="799"/>
      <c r="S3" s="799"/>
      <c r="T3" s="799"/>
      <c r="U3" s="799"/>
      <c r="V3" s="799"/>
      <c r="W3" s="799"/>
      <c r="X3" s="799"/>
      <c r="Y3" s="799"/>
      <c r="Z3" s="799"/>
      <c r="AA3" s="799"/>
      <c r="AB3" s="799"/>
      <c r="AC3" s="345"/>
      <c r="AD3" s="206"/>
    </row>
    <row r="4" spans="2:32" ht="15" customHeight="1">
      <c r="B4" s="207" t="s">
        <v>192</v>
      </c>
      <c r="C4" s="208"/>
      <c r="D4" s="800" t="s">
        <v>380</v>
      </c>
      <c r="E4" s="800"/>
      <c r="F4" s="800"/>
      <c r="G4" s="800"/>
      <c r="H4" s="800"/>
      <c r="I4" s="800"/>
      <c r="J4" s="800"/>
      <c r="K4" s="800"/>
      <c r="L4" s="800"/>
      <c r="M4" s="800"/>
      <c r="N4" s="800"/>
      <c r="O4" s="800"/>
      <c r="P4" s="800"/>
      <c r="Q4" s="800"/>
      <c r="R4" s="800"/>
      <c r="S4" s="800"/>
      <c r="T4" s="800"/>
      <c r="U4" s="800"/>
      <c r="V4" s="800"/>
      <c r="W4" s="800"/>
      <c r="X4" s="800"/>
      <c r="Y4" s="800"/>
      <c r="Z4" s="800"/>
      <c r="AA4" s="800"/>
      <c r="AB4" s="800"/>
      <c r="AC4" s="346"/>
      <c r="AD4" s="804" t="s">
        <v>233</v>
      </c>
    </row>
    <row r="5" spans="2:32" ht="15" customHeight="1">
      <c r="B5" s="209" t="s">
        <v>214</v>
      </c>
      <c r="C5" s="210"/>
      <c r="D5" s="801"/>
      <c r="E5" s="801"/>
      <c r="F5" s="801"/>
      <c r="G5" s="802"/>
      <c r="H5" s="802"/>
      <c r="I5" s="802"/>
      <c r="J5" s="802"/>
      <c r="K5" s="802"/>
      <c r="L5" s="802"/>
      <c r="M5" s="802"/>
      <c r="N5" s="802"/>
      <c r="O5" s="802"/>
      <c r="P5" s="802"/>
      <c r="Q5" s="802"/>
      <c r="R5" s="802"/>
      <c r="S5" s="802"/>
      <c r="T5" s="802"/>
      <c r="U5" s="802"/>
      <c r="V5" s="802"/>
      <c r="W5" s="802"/>
      <c r="X5" s="802"/>
      <c r="Y5" s="802"/>
      <c r="Z5" s="802"/>
      <c r="AA5" s="802"/>
      <c r="AB5" s="802"/>
      <c r="AC5" s="347"/>
      <c r="AD5" s="805"/>
    </row>
    <row r="6" spans="2:32" ht="14.25">
      <c r="B6" s="209" t="s">
        <v>215</v>
      </c>
      <c r="C6" s="211"/>
      <c r="D6" s="801"/>
      <c r="E6" s="801"/>
      <c r="F6" s="801"/>
      <c r="G6" s="802"/>
      <c r="H6" s="802"/>
      <c r="I6" s="802"/>
      <c r="J6" s="802"/>
      <c r="K6" s="802"/>
      <c r="L6" s="802"/>
      <c r="M6" s="802"/>
      <c r="N6" s="802"/>
      <c r="O6" s="802"/>
      <c r="P6" s="802"/>
      <c r="Q6" s="802"/>
      <c r="R6" s="802"/>
      <c r="S6" s="802"/>
      <c r="T6" s="802"/>
      <c r="U6" s="802"/>
      <c r="V6" s="802"/>
      <c r="W6" s="802"/>
      <c r="X6" s="802"/>
      <c r="Y6" s="802"/>
      <c r="Z6" s="802"/>
      <c r="AA6" s="802"/>
      <c r="AB6" s="802"/>
      <c r="AC6" s="347"/>
      <c r="AD6" s="805"/>
    </row>
    <row r="7" spans="2:32" ht="15" customHeight="1">
      <c r="B7" s="209" t="s">
        <v>217</v>
      </c>
      <c r="C7" s="210"/>
      <c r="D7" s="813"/>
      <c r="E7" s="813"/>
      <c r="F7" s="813"/>
      <c r="G7" s="802"/>
      <c r="H7" s="802"/>
      <c r="I7" s="802"/>
      <c r="J7" s="802"/>
      <c r="K7" s="802"/>
      <c r="L7" s="802"/>
      <c r="M7" s="802"/>
      <c r="N7" s="802"/>
      <c r="O7" s="802"/>
      <c r="P7" s="802"/>
      <c r="Q7" s="802"/>
      <c r="R7" s="802"/>
      <c r="S7" s="802"/>
      <c r="T7" s="802"/>
      <c r="U7" s="802"/>
      <c r="V7" s="802"/>
      <c r="W7" s="802"/>
      <c r="X7" s="802"/>
      <c r="Y7" s="802"/>
      <c r="Z7" s="802"/>
      <c r="AA7" s="802"/>
      <c r="AB7" s="802"/>
      <c r="AC7" s="348"/>
      <c r="AD7" s="806"/>
    </row>
    <row r="8" spans="2:32" ht="14.25">
      <c r="B8" s="209" t="s">
        <v>216</v>
      </c>
      <c r="C8" s="210"/>
      <c r="D8" s="813"/>
      <c r="E8" s="813"/>
      <c r="F8" s="813"/>
      <c r="G8" s="802"/>
      <c r="H8" s="802"/>
      <c r="I8" s="802"/>
      <c r="J8" s="802"/>
      <c r="K8" s="802"/>
      <c r="L8" s="802"/>
      <c r="M8" s="802"/>
      <c r="N8" s="802"/>
      <c r="O8" s="802"/>
      <c r="P8" s="802"/>
      <c r="Q8" s="802"/>
      <c r="R8" s="802"/>
      <c r="S8" s="802"/>
      <c r="T8" s="802"/>
      <c r="U8" s="802"/>
      <c r="V8" s="802"/>
      <c r="W8" s="802"/>
      <c r="X8" s="802"/>
      <c r="Y8" s="802"/>
      <c r="Z8" s="802"/>
      <c r="AA8" s="802"/>
      <c r="AB8" s="802"/>
      <c r="AC8" s="349"/>
      <c r="AD8" s="803">
        <f>DADOS!E30</f>
        <v>43831</v>
      </c>
    </row>
    <row r="9" spans="2:32" ht="14.25">
      <c r="B9" s="212" t="s">
        <v>401</v>
      </c>
      <c r="C9" s="213"/>
      <c r="D9" s="801"/>
      <c r="E9" s="801"/>
      <c r="F9" s="801"/>
      <c r="G9" s="802"/>
      <c r="H9" s="802"/>
      <c r="I9" s="802"/>
      <c r="J9" s="802"/>
      <c r="K9" s="802"/>
      <c r="L9" s="802"/>
      <c r="M9" s="802"/>
      <c r="N9" s="802"/>
      <c r="O9" s="802"/>
      <c r="P9" s="802"/>
      <c r="Q9" s="802"/>
      <c r="R9" s="802"/>
      <c r="S9" s="802"/>
      <c r="T9" s="802"/>
      <c r="U9" s="802"/>
      <c r="V9" s="802"/>
      <c r="W9" s="802"/>
      <c r="X9" s="802"/>
      <c r="Y9" s="802"/>
      <c r="Z9" s="802"/>
      <c r="AA9" s="802"/>
      <c r="AB9" s="802"/>
      <c r="AC9" s="349"/>
      <c r="AD9" s="803"/>
    </row>
    <row r="10" spans="2:32">
      <c r="B10" s="814" t="s">
        <v>193</v>
      </c>
      <c r="C10" s="815"/>
      <c r="D10" s="816" t="s">
        <v>194</v>
      </c>
      <c r="E10" s="799"/>
      <c r="F10" s="799"/>
      <c r="G10" s="799"/>
      <c r="H10" s="799"/>
      <c r="I10" s="799"/>
      <c r="J10" s="799"/>
      <c r="K10" s="799"/>
      <c r="L10" s="799"/>
      <c r="M10" s="799"/>
      <c r="N10" s="799"/>
      <c r="O10" s="799"/>
      <c r="P10" s="799"/>
      <c r="Q10" s="799"/>
      <c r="R10" s="799"/>
      <c r="S10" s="799"/>
      <c r="T10" s="799"/>
      <c r="U10" s="799"/>
      <c r="V10" s="799"/>
      <c r="W10" s="799"/>
      <c r="X10" s="799"/>
      <c r="Y10" s="799"/>
      <c r="Z10" s="799"/>
      <c r="AA10" s="799"/>
      <c r="AB10" s="799"/>
      <c r="AC10" s="345"/>
      <c r="AD10" s="206"/>
    </row>
    <row r="11" spans="2:32">
      <c r="B11" s="814"/>
      <c r="C11" s="815"/>
      <c r="D11" s="214"/>
      <c r="E11" s="214">
        <v>1</v>
      </c>
      <c r="F11" s="214">
        <v>2</v>
      </c>
      <c r="G11" s="214">
        <v>3</v>
      </c>
      <c r="H11" s="214">
        <v>4</v>
      </c>
      <c r="I11" s="214">
        <v>5</v>
      </c>
      <c r="J11" s="215">
        <v>6</v>
      </c>
      <c r="K11" s="215">
        <v>7</v>
      </c>
      <c r="L11" s="215">
        <v>8</v>
      </c>
      <c r="M11" s="215">
        <v>9</v>
      </c>
      <c r="N11" s="215">
        <v>10</v>
      </c>
      <c r="O11" s="215">
        <v>11</v>
      </c>
      <c r="P11" s="215">
        <v>12</v>
      </c>
      <c r="Q11" s="215">
        <v>13</v>
      </c>
      <c r="R11" s="215">
        <v>14</v>
      </c>
      <c r="S11" s="215">
        <v>15</v>
      </c>
      <c r="T11" s="215">
        <v>16</v>
      </c>
      <c r="U11" s="215">
        <v>17</v>
      </c>
      <c r="V11" s="215">
        <v>18</v>
      </c>
      <c r="W11" s="215">
        <v>19</v>
      </c>
      <c r="X11" s="215">
        <v>20</v>
      </c>
      <c r="Y11" s="215">
        <v>21</v>
      </c>
      <c r="Z11" s="215">
        <v>22</v>
      </c>
      <c r="AA11" s="215">
        <v>23</v>
      </c>
      <c r="AB11" s="215">
        <v>24</v>
      </c>
      <c r="AC11" s="350" t="s">
        <v>255</v>
      </c>
      <c r="AD11" s="216"/>
    </row>
    <row r="12" spans="2:32" ht="12" customHeight="1">
      <c r="B12" s="229">
        <v>1</v>
      </c>
      <c r="C12" s="280" t="s">
        <v>382</v>
      </c>
      <c r="D12" s="220"/>
      <c r="E12" s="811"/>
      <c r="F12" s="812"/>
      <c r="G12" s="812"/>
      <c r="H12" s="812"/>
      <c r="I12" s="812"/>
      <c r="J12" s="812"/>
      <c r="K12" s="812"/>
      <c r="L12" s="812"/>
      <c r="M12" s="812"/>
      <c r="N12" s="812"/>
      <c r="O12" s="812"/>
      <c r="P12" s="812"/>
      <c r="Q12" s="812"/>
      <c r="R12" s="812"/>
      <c r="S12" s="812"/>
      <c r="T12" s="812"/>
      <c r="U12" s="812"/>
      <c r="V12" s="812"/>
      <c r="W12" s="812"/>
      <c r="X12" s="812"/>
      <c r="Y12" s="812"/>
      <c r="Z12" s="812"/>
      <c r="AA12" s="812"/>
      <c r="AB12" s="812"/>
      <c r="AC12" s="335"/>
      <c r="AD12" s="223"/>
    </row>
    <row r="13" spans="2:32" ht="43.5" customHeight="1">
      <c r="B13" s="229"/>
      <c r="C13" s="228" t="s">
        <v>381</v>
      </c>
      <c r="D13" s="218"/>
      <c r="E13" s="387" t="s">
        <v>259</v>
      </c>
      <c r="F13" s="387" t="s">
        <v>259</v>
      </c>
      <c r="G13" s="387" t="s">
        <v>259</v>
      </c>
      <c r="H13" s="387" t="s">
        <v>259</v>
      </c>
      <c r="I13" s="387" t="s">
        <v>259</v>
      </c>
      <c r="J13" s="387" t="s">
        <v>259</v>
      </c>
      <c r="K13" s="387" t="s">
        <v>259</v>
      </c>
      <c r="L13" s="387" t="s">
        <v>259</v>
      </c>
      <c r="M13" s="387" t="s">
        <v>259</v>
      </c>
      <c r="N13" s="387" t="s">
        <v>259</v>
      </c>
      <c r="O13" s="387" t="s">
        <v>259</v>
      </c>
      <c r="P13" s="387" t="s">
        <v>259</v>
      </c>
      <c r="Q13" s="387" t="s">
        <v>259</v>
      </c>
      <c r="R13" s="387" t="s">
        <v>259</v>
      </c>
      <c r="S13" s="387" t="s">
        <v>259</v>
      </c>
      <c r="T13" s="387" t="s">
        <v>259</v>
      </c>
      <c r="U13" s="387" t="s">
        <v>259</v>
      </c>
      <c r="V13" s="387" t="s">
        <v>259</v>
      </c>
      <c r="W13" s="387" t="s">
        <v>259</v>
      </c>
      <c r="X13" s="387" t="s">
        <v>259</v>
      </c>
      <c r="Y13" s="387" t="s">
        <v>259</v>
      </c>
      <c r="Z13" s="387" t="s">
        <v>259</v>
      </c>
      <c r="AA13" s="387" t="s">
        <v>259</v>
      </c>
      <c r="AB13" s="387" t="s">
        <v>259</v>
      </c>
      <c r="AC13" s="396">
        <f>'CRONOGRAMA FÍSICO FINANCEIRO'!AC11</f>
        <v>0.32019782671090713</v>
      </c>
      <c r="AD13" s="224"/>
      <c r="AE13" s="217">
        <f>SUM(E13:AB13)</f>
        <v>0</v>
      </c>
      <c r="AF13" s="282">
        <f>AD13/25</f>
        <v>0</v>
      </c>
    </row>
    <row r="14" spans="2:32" ht="15.75" customHeight="1">
      <c r="B14" s="229">
        <v>2</v>
      </c>
      <c r="C14" s="280" t="s">
        <v>206</v>
      </c>
      <c r="D14" s="220"/>
      <c r="E14" s="809"/>
      <c r="F14" s="810"/>
      <c r="G14" s="810"/>
      <c r="H14" s="810"/>
      <c r="I14" s="810"/>
      <c r="J14" s="810"/>
      <c r="K14" s="810"/>
      <c r="L14" s="810"/>
      <c r="M14" s="810"/>
      <c r="N14" s="810"/>
      <c r="O14" s="810"/>
      <c r="P14" s="810"/>
      <c r="Q14" s="810"/>
      <c r="R14" s="810"/>
      <c r="S14" s="810"/>
      <c r="T14" s="810"/>
      <c r="U14" s="810"/>
      <c r="V14" s="810"/>
      <c r="W14" s="810"/>
      <c r="X14" s="810"/>
      <c r="Y14" s="810"/>
      <c r="Z14" s="810"/>
      <c r="AA14" s="810"/>
      <c r="AB14" s="810"/>
      <c r="AC14" s="389"/>
      <c r="AD14" s="223"/>
    </row>
    <row r="15" spans="2:32" ht="33">
      <c r="B15" s="229" t="s">
        <v>384</v>
      </c>
      <c r="C15" s="385" t="s">
        <v>383</v>
      </c>
      <c r="D15" s="220"/>
      <c r="E15" s="390"/>
      <c r="F15" s="391"/>
      <c r="G15" s="392" t="s">
        <v>259</v>
      </c>
      <c r="H15" s="391"/>
      <c r="I15" s="391"/>
      <c r="J15" s="392" t="s">
        <v>259</v>
      </c>
      <c r="K15" s="391"/>
      <c r="L15" s="391"/>
      <c r="M15" s="392" t="s">
        <v>259</v>
      </c>
      <c r="N15" s="391"/>
      <c r="O15" s="391"/>
      <c r="P15" s="392" t="s">
        <v>259</v>
      </c>
      <c r="Q15" s="391"/>
      <c r="R15" s="391"/>
      <c r="S15" s="391"/>
      <c r="T15" s="391"/>
      <c r="U15" s="391"/>
      <c r="V15" s="532"/>
      <c r="W15" s="532"/>
      <c r="X15" s="532"/>
      <c r="Y15" s="532"/>
      <c r="Z15" s="532"/>
      <c r="AA15" s="532"/>
      <c r="AB15" s="391"/>
      <c r="AC15" s="389">
        <f>'CRONOGRAMA FÍSICO FINANCEIRO'!AC12</f>
        <v>0.18349535145663917</v>
      </c>
      <c r="AD15" s="223"/>
    </row>
    <row r="16" spans="2:32" ht="28.5">
      <c r="B16" s="229" t="s">
        <v>385</v>
      </c>
      <c r="C16" s="230" t="s">
        <v>386</v>
      </c>
      <c r="D16" s="220"/>
      <c r="E16" s="387" t="s">
        <v>259</v>
      </c>
      <c r="F16" s="390"/>
      <c r="G16" s="387" t="s">
        <v>259</v>
      </c>
      <c r="H16" s="390"/>
      <c r="I16" s="387" t="s">
        <v>259</v>
      </c>
      <c r="J16" s="390"/>
      <c r="K16" s="387" t="s">
        <v>259</v>
      </c>
      <c r="L16" s="390"/>
      <c r="M16" s="387" t="s">
        <v>259</v>
      </c>
      <c r="N16" s="390"/>
      <c r="O16" s="387" t="s">
        <v>259</v>
      </c>
      <c r="P16" s="390"/>
      <c r="Q16" s="390"/>
      <c r="R16" s="390"/>
      <c r="S16" s="390"/>
      <c r="T16" s="390"/>
      <c r="U16" s="390"/>
      <c r="V16" s="531"/>
      <c r="W16" s="531"/>
      <c r="X16" s="531"/>
      <c r="Y16" s="531"/>
      <c r="Z16" s="531"/>
      <c r="AA16" s="531"/>
      <c r="AB16" s="390"/>
      <c r="AC16" s="388">
        <f>'CRONOGRAMA FÍSICO FINANCEIRO'!AC13</f>
        <v>6.6438161359737721E-2</v>
      </c>
      <c r="AD16" s="283"/>
      <c r="AE16" s="217">
        <f t="shared" ref="AE16:AE26" si="0">SUM(E16:AB16)</f>
        <v>0</v>
      </c>
    </row>
    <row r="17" spans="2:33" ht="28.5">
      <c r="B17" s="229" t="s">
        <v>387</v>
      </c>
      <c r="C17" s="230" t="s">
        <v>388</v>
      </c>
      <c r="D17" s="220"/>
      <c r="E17" s="397" t="s">
        <v>259</v>
      </c>
      <c r="F17" s="398"/>
      <c r="G17" s="398"/>
      <c r="H17" s="397" t="s">
        <v>259</v>
      </c>
      <c r="I17" s="398"/>
      <c r="J17" s="398"/>
      <c r="K17" s="397" t="s">
        <v>259</v>
      </c>
      <c r="L17" s="398"/>
      <c r="M17" s="398"/>
      <c r="N17" s="397" t="s">
        <v>259</v>
      </c>
      <c r="O17" s="398"/>
      <c r="P17" s="398"/>
      <c r="Q17" s="397" t="s">
        <v>259</v>
      </c>
      <c r="R17" s="398"/>
      <c r="S17" s="398"/>
      <c r="T17" s="398"/>
      <c r="U17" s="398"/>
      <c r="V17" s="398"/>
      <c r="W17" s="398"/>
      <c r="X17" s="398"/>
      <c r="Y17" s="398"/>
      <c r="Z17" s="398"/>
      <c r="AA17" s="398"/>
      <c r="AB17" s="397" t="s">
        <v>259</v>
      </c>
      <c r="AC17" s="399">
        <f>'CRONOGRAMA FÍSICO FINANCEIRO'!AC14</f>
        <v>1.7775126733404985E-2</v>
      </c>
      <c r="AD17" s="283"/>
      <c r="AE17" s="217">
        <f t="shared" si="0"/>
        <v>0</v>
      </c>
    </row>
    <row r="18" spans="2:33" ht="33">
      <c r="B18" s="229" t="s">
        <v>283</v>
      </c>
      <c r="C18" s="230" t="s">
        <v>224</v>
      </c>
      <c r="D18" s="220"/>
      <c r="E18" s="390"/>
      <c r="F18" s="390"/>
      <c r="G18" s="387" t="s">
        <v>259</v>
      </c>
      <c r="H18" s="390"/>
      <c r="I18" s="390"/>
      <c r="J18" s="387" t="s">
        <v>259</v>
      </c>
      <c r="K18" s="390"/>
      <c r="L18" s="390"/>
      <c r="M18" s="387" t="s">
        <v>259</v>
      </c>
      <c r="N18" s="390"/>
      <c r="O18" s="390"/>
      <c r="P18" s="387" t="s">
        <v>259</v>
      </c>
      <c r="Q18" s="390"/>
      <c r="R18" s="390"/>
      <c r="S18" s="390"/>
      <c r="T18" s="390"/>
      <c r="U18" s="390"/>
      <c r="V18" s="531"/>
      <c r="W18" s="531"/>
      <c r="X18" s="531"/>
      <c r="Y18" s="531"/>
      <c r="Z18" s="531"/>
      <c r="AA18" s="531"/>
      <c r="AB18" s="390"/>
      <c r="AC18" s="388">
        <f>'CRONOGRAMA FÍSICO FINANCEIRO'!AC15</f>
        <v>0.1177656606238338</v>
      </c>
      <c r="AD18" s="283"/>
      <c r="AE18" s="217">
        <f t="shared" si="0"/>
        <v>0</v>
      </c>
      <c r="AG18" s="205">
        <f>22/3</f>
        <v>7.333333333333333</v>
      </c>
    </row>
    <row r="19" spans="2:33" ht="51" customHeight="1">
      <c r="B19" s="229" t="s">
        <v>284</v>
      </c>
      <c r="C19" s="230" t="s">
        <v>225</v>
      </c>
      <c r="D19" s="220"/>
      <c r="E19" s="390"/>
      <c r="F19" s="390"/>
      <c r="G19" s="387" t="s">
        <v>259</v>
      </c>
      <c r="H19" s="390"/>
      <c r="I19" s="390"/>
      <c r="J19" s="387" t="s">
        <v>259</v>
      </c>
      <c r="K19" s="390"/>
      <c r="L19" s="390"/>
      <c r="M19" s="387" t="s">
        <v>259</v>
      </c>
      <c r="N19" s="390"/>
      <c r="O19" s="390"/>
      <c r="P19" s="387" t="s">
        <v>259</v>
      </c>
      <c r="Q19" s="390"/>
      <c r="R19" s="390"/>
      <c r="S19" s="387" t="s">
        <v>259</v>
      </c>
      <c r="T19" s="390"/>
      <c r="U19" s="390"/>
      <c r="V19" s="531"/>
      <c r="W19" s="531"/>
      <c r="X19" s="531"/>
      <c r="Y19" s="531"/>
      <c r="Z19" s="531"/>
      <c r="AA19" s="531"/>
      <c r="AB19" s="387" t="s">
        <v>259</v>
      </c>
      <c r="AC19" s="399">
        <f>'CRONOGRAMA FÍSICO FINANCEIRO'!AC16</f>
        <v>2.7086099841371926E-2</v>
      </c>
      <c r="AD19" s="283"/>
      <c r="AE19" s="217">
        <f t="shared" si="0"/>
        <v>0</v>
      </c>
    </row>
    <row r="20" spans="2:33" ht="51" customHeight="1">
      <c r="B20" s="229" t="s">
        <v>285</v>
      </c>
      <c r="C20" s="230" t="s">
        <v>226</v>
      </c>
      <c r="D20" s="220"/>
      <c r="E20" s="387" t="s">
        <v>259</v>
      </c>
      <c r="F20" s="387" t="s">
        <v>259</v>
      </c>
      <c r="G20" s="387" t="s">
        <v>259</v>
      </c>
      <c r="H20" s="387" t="s">
        <v>259</v>
      </c>
      <c r="I20" s="387" t="s">
        <v>259</v>
      </c>
      <c r="J20" s="387" t="s">
        <v>259</v>
      </c>
      <c r="K20" s="387" t="s">
        <v>259</v>
      </c>
      <c r="L20" s="387" t="s">
        <v>259</v>
      </c>
      <c r="M20" s="387" t="s">
        <v>259</v>
      </c>
      <c r="N20" s="387" t="s">
        <v>259</v>
      </c>
      <c r="O20" s="387" t="s">
        <v>259</v>
      </c>
      <c r="P20" s="387" t="s">
        <v>259</v>
      </c>
      <c r="Q20" s="387" t="s">
        <v>259</v>
      </c>
      <c r="R20" s="387" t="s">
        <v>259</v>
      </c>
      <c r="S20" s="387" t="s">
        <v>259</v>
      </c>
      <c r="T20" s="387" t="s">
        <v>259</v>
      </c>
      <c r="U20" s="387" t="s">
        <v>259</v>
      </c>
      <c r="V20" s="387"/>
      <c r="W20" s="387"/>
      <c r="X20" s="387"/>
      <c r="Y20" s="387"/>
      <c r="Z20" s="387"/>
      <c r="AA20" s="387"/>
      <c r="AB20" s="387" t="s">
        <v>259</v>
      </c>
      <c r="AC20" s="399">
        <f>'CRONOGRAMA FÍSICO FINANCEIRO'!AC17</f>
        <v>0.25656602813632717</v>
      </c>
      <c r="AD20" s="283"/>
      <c r="AE20" s="217">
        <f t="shared" si="0"/>
        <v>0</v>
      </c>
      <c r="AF20" s="217"/>
    </row>
    <row r="21" spans="2:33" ht="51" customHeight="1">
      <c r="B21" s="229" t="s">
        <v>286</v>
      </c>
      <c r="C21" s="230" t="s">
        <v>227</v>
      </c>
      <c r="D21" s="220"/>
      <c r="E21" s="390"/>
      <c r="F21" s="387" t="s">
        <v>259</v>
      </c>
      <c r="G21" s="390"/>
      <c r="H21" s="390"/>
      <c r="I21" s="390"/>
      <c r="J21" s="390"/>
      <c r="K21" s="387" t="s">
        <v>259</v>
      </c>
      <c r="L21" s="390"/>
      <c r="M21" s="390"/>
      <c r="N21" s="390"/>
      <c r="O21" s="390"/>
      <c r="P21" s="387" t="s">
        <v>259</v>
      </c>
      <c r="Q21" s="390"/>
      <c r="R21" s="390"/>
      <c r="S21" s="390"/>
      <c r="T21" s="390"/>
      <c r="U21" s="390"/>
      <c r="V21" s="531"/>
      <c r="W21" s="531"/>
      <c r="X21" s="531"/>
      <c r="Y21" s="531"/>
      <c r="Z21" s="531"/>
      <c r="AA21" s="531"/>
      <c r="AB21" s="390"/>
      <c r="AC21" s="388" t="e">
        <f>'CRONOGRAMA FÍSICO FINANCEIRO'!#REF!</f>
        <v>#REF!</v>
      </c>
      <c r="AD21" s="283"/>
      <c r="AE21" s="217">
        <f t="shared" si="0"/>
        <v>0</v>
      </c>
    </row>
    <row r="22" spans="2:33" ht="51" customHeight="1">
      <c r="B22" s="229" t="s">
        <v>287</v>
      </c>
      <c r="C22" s="230" t="s">
        <v>228</v>
      </c>
      <c r="D22" s="220"/>
      <c r="E22" s="390"/>
      <c r="F22" s="390"/>
      <c r="G22" s="387" t="s">
        <v>259</v>
      </c>
      <c r="H22" s="390"/>
      <c r="I22" s="390"/>
      <c r="J22" s="387" t="s">
        <v>259</v>
      </c>
      <c r="K22" s="400"/>
      <c r="L22" s="390"/>
      <c r="M22" s="387" t="s">
        <v>259</v>
      </c>
      <c r="N22" s="390"/>
      <c r="O22" s="390"/>
      <c r="P22" s="387" t="s">
        <v>259</v>
      </c>
      <c r="Q22" s="390"/>
      <c r="R22" s="390"/>
      <c r="S22" s="390"/>
      <c r="T22" s="390"/>
      <c r="U22" s="390"/>
      <c r="V22" s="531"/>
      <c r="W22" s="531"/>
      <c r="X22" s="531"/>
      <c r="Y22" s="531"/>
      <c r="Z22" s="531"/>
      <c r="AA22" s="531"/>
      <c r="AB22" s="387" t="s">
        <v>259</v>
      </c>
      <c r="AC22" s="399" t="e">
        <f>'CRONOGRAMA FÍSICO FINANCEIRO'!#REF!</f>
        <v>#REF!</v>
      </c>
      <c r="AD22" s="283"/>
      <c r="AE22" s="217">
        <f t="shared" si="0"/>
        <v>0</v>
      </c>
    </row>
    <row r="23" spans="2:33" ht="51" customHeight="1">
      <c r="B23" s="229" t="s">
        <v>288</v>
      </c>
      <c r="C23" s="230" t="s">
        <v>235</v>
      </c>
      <c r="D23" s="220"/>
      <c r="E23" s="390"/>
      <c r="F23" s="390"/>
      <c r="G23" s="387" t="s">
        <v>259</v>
      </c>
      <c r="H23" s="390"/>
      <c r="I23" s="390"/>
      <c r="J23" s="387" t="s">
        <v>259</v>
      </c>
      <c r="K23" s="390"/>
      <c r="L23" s="390"/>
      <c r="M23" s="387" t="s">
        <v>259</v>
      </c>
      <c r="N23" s="390"/>
      <c r="O23" s="390"/>
      <c r="P23" s="387" t="s">
        <v>259</v>
      </c>
      <c r="Q23" s="390"/>
      <c r="R23" s="390"/>
      <c r="S23" s="390"/>
      <c r="T23" s="390"/>
      <c r="U23" s="390"/>
      <c r="V23" s="531"/>
      <c r="W23" s="531"/>
      <c r="X23" s="531"/>
      <c r="Y23" s="531"/>
      <c r="Z23" s="531"/>
      <c r="AA23" s="531"/>
      <c r="AB23" s="390"/>
      <c r="AC23" s="388" t="e">
        <f>'CRONOGRAMA FÍSICO FINANCEIRO'!#REF!</f>
        <v>#REF!</v>
      </c>
      <c r="AD23" s="283"/>
      <c r="AE23" s="217">
        <f t="shared" si="0"/>
        <v>0</v>
      </c>
    </row>
    <row r="24" spans="2:33" ht="51" customHeight="1">
      <c r="B24" s="229" t="s">
        <v>289</v>
      </c>
      <c r="C24" s="230" t="s">
        <v>250</v>
      </c>
      <c r="D24" s="220"/>
      <c r="E24" s="390"/>
      <c r="F24" s="390"/>
      <c r="G24" s="387" t="s">
        <v>259</v>
      </c>
      <c r="H24" s="390"/>
      <c r="I24" s="390"/>
      <c r="J24" s="387" t="s">
        <v>259</v>
      </c>
      <c r="K24" s="390"/>
      <c r="L24" s="390"/>
      <c r="M24" s="387" t="s">
        <v>259</v>
      </c>
      <c r="N24" s="390"/>
      <c r="O24" s="390"/>
      <c r="P24" s="387" t="s">
        <v>259</v>
      </c>
      <c r="Q24" s="390"/>
      <c r="R24" s="390"/>
      <c r="S24" s="390"/>
      <c r="T24" s="390"/>
      <c r="U24" s="390"/>
      <c r="V24" s="531"/>
      <c r="W24" s="531"/>
      <c r="X24" s="531"/>
      <c r="Y24" s="531"/>
      <c r="Z24" s="531"/>
      <c r="AA24" s="531"/>
      <c r="AB24" s="390"/>
      <c r="AC24" s="388" t="e">
        <f>'CRONOGRAMA FÍSICO FINANCEIRO'!#REF!</f>
        <v>#REF!</v>
      </c>
      <c r="AD24" s="283"/>
      <c r="AE24" s="217">
        <f t="shared" si="0"/>
        <v>0</v>
      </c>
    </row>
    <row r="25" spans="2:33" ht="51" customHeight="1">
      <c r="B25" s="229" t="s">
        <v>290</v>
      </c>
      <c r="C25" s="230" t="s">
        <v>251</v>
      </c>
      <c r="D25" s="220"/>
      <c r="E25" s="390"/>
      <c r="F25" s="390"/>
      <c r="G25" s="387" t="s">
        <v>259</v>
      </c>
      <c r="H25" s="390"/>
      <c r="I25" s="390"/>
      <c r="J25" s="387" t="s">
        <v>259</v>
      </c>
      <c r="K25" s="390"/>
      <c r="L25" s="390"/>
      <c r="M25" s="387" t="s">
        <v>259</v>
      </c>
      <c r="N25" s="390"/>
      <c r="O25" s="390"/>
      <c r="P25" s="387" t="s">
        <v>259</v>
      </c>
      <c r="Q25" s="390"/>
      <c r="R25" s="390"/>
      <c r="S25" s="390"/>
      <c r="T25" s="390"/>
      <c r="U25" s="390"/>
      <c r="V25" s="531"/>
      <c r="W25" s="531"/>
      <c r="X25" s="531"/>
      <c r="Y25" s="531"/>
      <c r="Z25" s="531"/>
      <c r="AA25" s="531"/>
      <c r="AB25" s="390"/>
      <c r="AC25" s="388" t="e">
        <f>'CRONOGRAMA FÍSICO FINANCEIRO'!#REF!</f>
        <v>#REF!</v>
      </c>
      <c r="AD25" s="283"/>
      <c r="AE25" s="217">
        <f t="shared" si="0"/>
        <v>0</v>
      </c>
    </row>
    <row r="26" spans="2:33" ht="51" customHeight="1">
      <c r="B26" s="229" t="s">
        <v>291</v>
      </c>
      <c r="C26" s="230" t="s">
        <v>249</v>
      </c>
      <c r="D26" s="220"/>
      <c r="E26" s="390"/>
      <c r="F26" s="390"/>
      <c r="G26" s="390"/>
      <c r="H26" s="390"/>
      <c r="I26" s="390"/>
      <c r="J26" s="387" t="s">
        <v>259</v>
      </c>
      <c r="K26" s="390"/>
      <c r="L26" s="390"/>
      <c r="M26" s="387" t="s">
        <v>259</v>
      </c>
      <c r="N26" s="390"/>
      <c r="O26" s="390"/>
      <c r="P26" s="387" t="s">
        <v>259</v>
      </c>
      <c r="Q26" s="390"/>
      <c r="R26" s="390"/>
      <c r="S26" s="390"/>
      <c r="T26" s="390"/>
      <c r="U26" s="390"/>
      <c r="V26" s="531"/>
      <c r="W26" s="531"/>
      <c r="X26" s="531"/>
      <c r="Y26" s="531"/>
      <c r="Z26" s="531"/>
      <c r="AA26" s="531"/>
      <c r="AB26" s="390"/>
      <c r="AC26" s="388" t="e">
        <f>'CRONOGRAMA FÍSICO FINANCEIRO'!#REF!</f>
        <v>#REF!</v>
      </c>
      <c r="AD26" s="283"/>
      <c r="AE26" s="217">
        <f t="shared" si="0"/>
        <v>0</v>
      </c>
    </row>
    <row r="27" spans="2:33" ht="51" customHeight="1">
      <c r="B27" s="229" t="s">
        <v>298</v>
      </c>
      <c r="C27" s="230" t="s">
        <v>299</v>
      </c>
      <c r="D27" s="220"/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4"/>
      <c r="P27" s="414"/>
      <c r="Q27" s="387" t="s">
        <v>259</v>
      </c>
      <c r="R27" s="387" t="s">
        <v>259</v>
      </c>
      <c r="S27" s="387" t="s">
        <v>259</v>
      </c>
      <c r="T27" s="387" t="s">
        <v>259</v>
      </c>
      <c r="U27" s="387" t="s">
        <v>259</v>
      </c>
      <c r="V27" s="387"/>
      <c r="W27" s="387"/>
      <c r="X27" s="387"/>
      <c r="Y27" s="387"/>
      <c r="Z27" s="387"/>
      <c r="AA27" s="387"/>
      <c r="AB27" s="387" t="s">
        <v>259</v>
      </c>
      <c r="AC27" s="388" t="e">
        <f>'CRONOGRAMA FÍSICO FINANCEIRO'!#REF!</f>
        <v>#REF!</v>
      </c>
      <c r="AD27" s="283"/>
      <c r="AE27" s="217"/>
    </row>
    <row r="28" spans="2:33" ht="12" customHeight="1">
      <c r="B28" s="229">
        <v>5</v>
      </c>
      <c r="C28" s="280" t="s">
        <v>230</v>
      </c>
      <c r="D28" s="220"/>
      <c r="E28" s="811"/>
      <c r="F28" s="812"/>
      <c r="G28" s="812"/>
      <c r="H28" s="812"/>
      <c r="I28" s="812"/>
      <c r="J28" s="812"/>
      <c r="K28" s="812"/>
      <c r="L28" s="812"/>
      <c r="M28" s="812"/>
      <c r="N28" s="812"/>
      <c r="O28" s="812"/>
      <c r="P28" s="812"/>
      <c r="Q28" s="812"/>
      <c r="R28" s="812"/>
      <c r="S28" s="812"/>
      <c r="T28" s="812"/>
      <c r="U28" s="812"/>
      <c r="V28" s="812"/>
      <c r="W28" s="812"/>
      <c r="X28" s="812"/>
      <c r="Y28" s="812"/>
      <c r="Z28" s="812"/>
      <c r="AA28" s="812"/>
      <c r="AB28" s="812"/>
      <c r="AC28" s="335"/>
      <c r="AD28" s="223"/>
    </row>
    <row r="29" spans="2:33" ht="51" customHeight="1">
      <c r="B29" s="229" t="s">
        <v>229</v>
      </c>
      <c r="C29" s="230" t="s">
        <v>252</v>
      </c>
      <c r="D29" s="220"/>
      <c r="E29" s="390"/>
      <c r="F29" s="390"/>
      <c r="G29" s="387" t="s">
        <v>259</v>
      </c>
      <c r="H29" s="390"/>
      <c r="I29" s="390"/>
      <c r="J29" s="390"/>
      <c r="K29" s="390"/>
      <c r="L29" s="390"/>
      <c r="M29" s="390"/>
      <c r="N29" s="390"/>
      <c r="O29" s="390"/>
      <c r="P29" s="390"/>
      <c r="Q29" s="390"/>
      <c r="R29" s="390"/>
      <c r="S29" s="390"/>
      <c r="T29" s="390"/>
      <c r="U29" s="390"/>
      <c r="V29" s="531"/>
      <c r="W29" s="531"/>
      <c r="X29" s="531"/>
      <c r="Y29" s="531"/>
      <c r="Z29" s="531"/>
      <c r="AA29" s="531"/>
      <c r="AB29" s="390"/>
      <c r="AC29" s="388" t="e">
        <f>'CRONOGRAMA FÍSICO FINANCEIRO'!#REF!</f>
        <v>#REF!</v>
      </c>
      <c r="AD29" s="283"/>
      <c r="AE29" s="284">
        <f>SUM(E29:AB29)</f>
        <v>0</v>
      </c>
      <c r="AF29" s="227"/>
    </row>
    <row r="30" spans="2:33" ht="12" customHeight="1">
      <c r="B30" s="229">
        <v>6</v>
      </c>
      <c r="C30" s="280" t="s">
        <v>231</v>
      </c>
      <c r="D30" s="220"/>
      <c r="E30" s="809"/>
      <c r="F30" s="810"/>
      <c r="G30" s="810"/>
      <c r="H30" s="810"/>
      <c r="I30" s="810"/>
      <c r="J30" s="810"/>
      <c r="K30" s="810"/>
      <c r="L30" s="810"/>
      <c r="M30" s="810"/>
      <c r="N30" s="810"/>
      <c r="O30" s="810"/>
      <c r="P30" s="810"/>
      <c r="Q30" s="810"/>
      <c r="R30" s="810"/>
      <c r="S30" s="810"/>
      <c r="T30" s="810"/>
      <c r="U30" s="810"/>
      <c r="V30" s="810"/>
      <c r="W30" s="810"/>
      <c r="X30" s="810"/>
      <c r="Y30" s="810"/>
      <c r="Z30" s="810"/>
      <c r="AA30" s="810"/>
      <c r="AB30" s="810"/>
      <c r="AC30" s="389"/>
      <c r="AD30" s="223"/>
    </row>
    <row r="31" spans="2:33" ht="51" customHeight="1">
      <c r="B31" s="229" t="s">
        <v>232</v>
      </c>
      <c r="C31" s="230" t="s">
        <v>262</v>
      </c>
      <c r="D31" s="220"/>
      <c r="E31" s="390"/>
      <c r="F31" s="387" t="s">
        <v>259</v>
      </c>
      <c r="G31" s="390"/>
      <c r="H31" s="390"/>
      <c r="I31" s="390"/>
      <c r="J31" s="390"/>
      <c r="K31" s="390"/>
      <c r="L31" s="390"/>
      <c r="M31" s="390"/>
      <c r="N31" s="390"/>
      <c r="O31" s="390"/>
      <c r="P31" s="390"/>
      <c r="Q31" s="390"/>
      <c r="R31" s="390"/>
      <c r="S31" s="390"/>
      <c r="T31" s="390"/>
      <c r="U31" s="390"/>
      <c r="V31" s="531"/>
      <c r="W31" s="531"/>
      <c r="X31" s="531"/>
      <c r="Y31" s="531"/>
      <c r="Z31" s="531"/>
      <c r="AA31" s="531"/>
      <c r="AB31" s="390"/>
      <c r="AC31" s="388" t="e">
        <f>'CRONOGRAMA FÍSICO FINANCEIRO'!#REF!</f>
        <v>#REF!</v>
      </c>
      <c r="AD31" s="283"/>
      <c r="AE31" s="284"/>
      <c r="AF31" s="227"/>
    </row>
    <row r="32" spans="2:33" ht="15.75" customHeight="1">
      <c r="B32" s="229">
        <v>7</v>
      </c>
      <c r="C32" s="280" t="s">
        <v>260</v>
      </c>
      <c r="D32" s="220"/>
      <c r="E32" s="809"/>
      <c r="F32" s="810"/>
      <c r="G32" s="810"/>
      <c r="H32" s="810"/>
      <c r="I32" s="810"/>
      <c r="J32" s="810"/>
      <c r="K32" s="810"/>
      <c r="L32" s="810"/>
      <c r="M32" s="810"/>
      <c r="N32" s="810"/>
      <c r="O32" s="810"/>
      <c r="P32" s="810"/>
      <c r="Q32" s="810"/>
      <c r="R32" s="810"/>
      <c r="S32" s="810"/>
      <c r="T32" s="810"/>
      <c r="U32" s="810"/>
      <c r="V32" s="810"/>
      <c r="W32" s="810"/>
      <c r="X32" s="810"/>
      <c r="Y32" s="810"/>
      <c r="Z32" s="810"/>
      <c r="AA32" s="810"/>
      <c r="AB32" s="810"/>
      <c r="AC32" s="389"/>
      <c r="AD32" s="223"/>
      <c r="AE32" s="284"/>
      <c r="AF32" s="227"/>
    </row>
    <row r="33" spans="2:34" ht="51" customHeight="1">
      <c r="B33" s="229" t="s">
        <v>234</v>
      </c>
      <c r="C33" s="230" t="s">
        <v>261</v>
      </c>
      <c r="D33" s="220"/>
      <c r="E33" s="387" t="s">
        <v>259</v>
      </c>
      <c r="F33" s="401"/>
      <c r="G33" s="401"/>
      <c r="H33" s="390"/>
      <c r="I33" s="390"/>
      <c r="J33" s="390"/>
      <c r="K33" s="390"/>
      <c r="L33" s="390"/>
      <c r="M33" s="390"/>
      <c r="N33" s="390"/>
      <c r="O33" s="390"/>
      <c r="P33" s="390"/>
      <c r="Q33" s="390"/>
      <c r="R33" s="390"/>
      <c r="S33" s="390"/>
      <c r="T33" s="390"/>
      <c r="U33" s="390"/>
      <c r="V33" s="531"/>
      <c r="W33" s="531"/>
      <c r="X33" s="531"/>
      <c r="Y33" s="531"/>
      <c r="Z33" s="531"/>
      <c r="AA33" s="531"/>
      <c r="AB33" s="390"/>
      <c r="AC33" s="388" t="e">
        <f>'CRONOGRAMA FÍSICO FINANCEIRO'!#REF!</f>
        <v>#REF!</v>
      </c>
      <c r="AD33" s="283"/>
      <c r="AE33" s="284">
        <f>SUM(E33:AB33)</f>
        <v>0</v>
      </c>
      <c r="AF33" s="415" t="e">
        <f>SUM(AC13:AC33)</f>
        <v>#REF!</v>
      </c>
      <c r="AH33" s="344"/>
    </row>
    <row r="34" spans="2:34" ht="15.75" customHeight="1">
      <c r="B34" s="817"/>
      <c r="C34" s="802"/>
      <c r="D34" s="802"/>
      <c r="E34" s="802"/>
      <c r="F34" s="802"/>
      <c r="G34" s="802"/>
      <c r="H34" s="802"/>
      <c r="I34" s="802"/>
      <c r="J34" s="802"/>
      <c r="K34" s="802"/>
      <c r="L34" s="802"/>
      <c r="M34" s="802"/>
      <c r="N34" s="802"/>
      <c r="O34" s="802"/>
      <c r="P34" s="802"/>
      <c r="Q34" s="802"/>
      <c r="R34" s="802"/>
      <c r="S34" s="802"/>
      <c r="T34" s="802"/>
      <c r="U34" s="802"/>
      <c r="V34" s="802"/>
      <c r="W34" s="802"/>
      <c r="X34" s="802"/>
      <c r="Y34" s="802"/>
      <c r="Z34" s="802"/>
      <c r="AA34" s="802"/>
      <c r="AB34" s="802"/>
      <c r="AC34" s="818"/>
      <c r="AD34" s="819"/>
    </row>
    <row r="35" spans="2:34" ht="39" customHeight="1">
      <c r="B35" s="351"/>
      <c r="C35" s="354" t="s">
        <v>258</v>
      </c>
      <c r="D35" s="352"/>
      <c r="E35" s="402">
        <f>'CRONOGRAMA FÍSICO FINANCEIRO'!E20</f>
        <v>1.3341576112954463E-2</v>
      </c>
      <c r="F35" s="402">
        <f>'CRONOGRAMA FÍSICO FINANCEIRO'!F20</f>
        <v>5.9827162797687808E-2</v>
      </c>
      <c r="G35" s="402">
        <f>'CRONOGRAMA FÍSICO FINANCEIRO'!G20</f>
        <v>8.0880484820973486E-2</v>
      </c>
      <c r="H35" s="402">
        <f>'CRONOGRAMA FÍSICO FINANCEIRO'!H20</f>
        <v>5.9827162797687808E-2</v>
      </c>
      <c r="I35" s="402">
        <f>'CRONOGRAMA FÍSICO FINANCEIRO'!I20</f>
        <v>5.9827162797687808E-2</v>
      </c>
      <c r="J35" s="402">
        <f>'CRONOGRAMA FÍSICO FINANCEIRO'!J20</f>
        <v>8.7652009781316459E-2</v>
      </c>
      <c r="K35" s="402">
        <f>'CRONOGRAMA FÍSICO FINANCEIRO'!K20</f>
        <v>5.9827162797687808E-2</v>
      </c>
      <c r="L35" s="402">
        <f>'CRONOGRAMA FÍSICO FINANCEIRO'!L20</f>
        <v>5.9827162797687808E-2</v>
      </c>
      <c r="M35" s="402">
        <f>'CRONOGRAMA FÍSICO FINANCEIRO'!M20</f>
        <v>8.0880484820973486E-2</v>
      </c>
      <c r="N35" s="402">
        <f>'CRONOGRAMA FÍSICO FINANCEIRO'!N20</f>
        <v>5.9827162797687808E-2</v>
      </c>
      <c r="O35" s="402">
        <f>'CRONOGRAMA FÍSICO FINANCEIRO'!O20</f>
        <v>5.9827162797687808E-2</v>
      </c>
      <c r="P35" s="402">
        <f>'CRONOGRAMA FÍSICO FINANCEIRO'!P20</f>
        <v>8.7652009781316459E-2</v>
      </c>
      <c r="Q35" s="402">
        <f>'CRONOGRAMA FÍSICO FINANCEIRO'!Q20</f>
        <v>5.9827162797687808E-2</v>
      </c>
      <c r="R35" s="402">
        <f>'CRONOGRAMA FÍSICO FINANCEIRO'!R20</f>
        <v>1.3341576112954463E-2</v>
      </c>
      <c r="S35" s="402">
        <f>'CRONOGRAMA FÍSICO FINANCEIRO'!S20</f>
        <v>1.3341576112954463E-2</v>
      </c>
      <c r="T35" s="402">
        <f>'CRONOGRAMA FÍSICO FINANCEIRO'!T20</f>
        <v>1.3341576112954463E-2</v>
      </c>
      <c r="U35" s="402">
        <f>'CRONOGRAMA FÍSICO FINANCEIRO'!U20</f>
        <v>1.3341576112954463E-2</v>
      </c>
      <c r="V35" s="402"/>
      <c r="W35" s="402"/>
      <c r="X35" s="402"/>
      <c r="Y35" s="402"/>
      <c r="Z35" s="402"/>
      <c r="AA35" s="402"/>
      <c r="AB35" s="402">
        <f>'CRONOGRAMA FÍSICO FINANCEIRO'!V20</f>
        <v>2.0113101073297446E-2</v>
      </c>
      <c r="AC35" s="403">
        <f>SUM(E35:AB35)</f>
        <v>0.90250327322415236</v>
      </c>
      <c r="AD35" s="355"/>
    </row>
    <row r="36" spans="2:34" ht="38.25" customHeight="1">
      <c r="B36" s="351"/>
      <c r="C36" s="354" t="s">
        <v>257</v>
      </c>
      <c r="D36" s="352"/>
      <c r="E36" s="402">
        <f>'CRONOGRAMA FÍSICO FINANCEIRO'!E21</f>
        <v>1.3341576112954463E-2</v>
      </c>
      <c r="F36" s="402">
        <f t="shared" ref="F36:U36" si="1">E36+F35</f>
        <v>7.3168738910642267E-2</v>
      </c>
      <c r="G36" s="402">
        <f t="shared" si="1"/>
        <v>0.15404922373161575</v>
      </c>
      <c r="H36" s="402">
        <f t="shared" si="1"/>
        <v>0.21387638652930357</v>
      </c>
      <c r="I36" s="402">
        <f t="shared" si="1"/>
        <v>0.27370354932699137</v>
      </c>
      <c r="J36" s="402">
        <f t="shared" si="1"/>
        <v>0.36135555910830786</v>
      </c>
      <c r="K36" s="402">
        <f t="shared" si="1"/>
        <v>0.42118272190599565</v>
      </c>
      <c r="L36" s="402">
        <f t="shared" si="1"/>
        <v>0.48100988470368344</v>
      </c>
      <c r="M36" s="402">
        <f t="shared" si="1"/>
        <v>0.56189036952465687</v>
      </c>
      <c r="N36" s="402">
        <f t="shared" si="1"/>
        <v>0.62171753232234472</v>
      </c>
      <c r="O36" s="402">
        <f t="shared" si="1"/>
        <v>0.68154469512003257</v>
      </c>
      <c r="P36" s="402">
        <f t="shared" si="1"/>
        <v>0.76919670490134906</v>
      </c>
      <c r="Q36" s="402">
        <f t="shared" si="1"/>
        <v>0.82902386769903691</v>
      </c>
      <c r="R36" s="402">
        <f t="shared" si="1"/>
        <v>0.84236544381199141</v>
      </c>
      <c r="S36" s="402">
        <f t="shared" si="1"/>
        <v>0.85570701992494591</v>
      </c>
      <c r="T36" s="402">
        <f t="shared" si="1"/>
        <v>0.86904859603790041</v>
      </c>
      <c r="U36" s="402">
        <f t="shared" si="1"/>
        <v>0.88239017215085491</v>
      </c>
      <c r="V36" s="402"/>
      <c r="W36" s="402"/>
      <c r="X36" s="402"/>
      <c r="Y36" s="402"/>
      <c r="Z36" s="402"/>
      <c r="AA36" s="402"/>
      <c r="AB36" s="402">
        <f>U36+AB35</f>
        <v>0.90250327322415236</v>
      </c>
      <c r="AC36" s="403"/>
      <c r="AD36" s="353"/>
    </row>
    <row r="37" spans="2:34" ht="63" customHeight="1" thickBot="1">
      <c r="B37" s="807" t="s">
        <v>212</v>
      </c>
      <c r="C37" s="808"/>
      <c r="D37" s="219"/>
      <c r="E37" s="395"/>
      <c r="F37" s="395"/>
      <c r="G37" s="395"/>
      <c r="H37" s="395"/>
      <c r="I37" s="395"/>
      <c r="J37" s="395"/>
      <c r="K37" s="395"/>
      <c r="L37" s="395"/>
      <c r="M37" s="395"/>
      <c r="N37" s="395"/>
      <c r="O37" s="395"/>
      <c r="P37" s="395"/>
      <c r="Q37" s="395"/>
      <c r="R37" s="395"/>
      <c r="S37" s="395"/>
      <c r="T37" s="395"/>
      <c r="U37" s="395"/>
      <c r="V37" s="395"/>
      <c r="W37" s="395"/>
      <c r="X37" s="395"/>
      <c r="Y37" s="395"/>
      <c r="Z37" s="395"/>
      <c r="AA37" s="395"/>
      <c r="AB37" s="395"/>
      <c r="AC37" s="404"/>
      <c r="AD37" s="281"/>
      <c r="AE37" s="217"/>
      <c r="AF37" s="217"/>
    </row>
    <row r="40" spans="2:34">
      <c r="D40" s="217"/>
      <c r="AD40" s="217"/>
      <c r="AE40" s="217"/>
    </row>
  </sheetData>
  <mergeCells count="19">
    <mergeCell ref="AD8:AD9"/>
    <mergeCell ref="D9:AB9"/>
    <mergeCell ref="AD4:AD7"/>
    <mergeCell ref="B37:C37"/>
    <mergeCell ref="E14:AB14"/>
    <mergeCell ref="E28:AB28"/>
    <mergeCell ref="D7:AB7"/>
    <mergeCell ref="D8:AB8"/>
    <mergeCell ref="B10:C11"/>
    <mergeCell ref="D10:AB10"/>
    <mergeCell ref="E12:AB12"/>
    <mergeCell ref="E30:AB30"/>
    <mergeCell ref="B34:AD34"/>
    <mergeCell ref="E32:AB32"/>
    <mergeCell ref="B2:AD2"/>
    <mergeCell ref="B3:AB3"/>
    <mergeCell ref="D4:AB4"/>
    <mergeCell ref="D5:AB5"/>
    <mergeCell ref="D6:AB6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3"/>
  <sheetViews>
    <sheetView zoomScale="90" zoomScaleNormal="90" workbookViewId="0">
      <selection activeCell="O6" sqref="O6"/>
    </sheetView>
  </sheetViews>
  <sheetFormatPr defaultRowHeight="12.75"/>
  <cols>
    <col min="1" max="1" width="13.7109375" customWidth="1"/>
    <col min="2" max="2" width="44.5703125" bestFit="1" customWidth="1"/>
    <col min="3" max="3" width="5" bestFit="1" customWidth="1"/>
    <col min="4" max="4" width="10.28515625" customWidth="1"/>
    <col min="5" max="5" width="18" customWidth="1"/>
    <col min="6" max="6" width="19.85546875" customWidth="1"/>
    <col min="7" max="7" width="12.42578125" bestFit="1" customWidth="1"/>
    <col min="8" max="8" width="7.5703125" customWidth="1"/>
    <col min="9" max="9" width="7" customWidth="1"/>
    <col min="10" max="10" width="8.5703125" customWidth="1"/>
    <col min="11" max="11" width="8.85546875" customWidth="1"/>
    <col min="12" max="12" width="8.7109375" customWidth="1"/>
    <col min="13" max="13" width="9.42578125" customWidth="1"/>
    <col min="14" max="14" width="9.7109375" customWidth="1"/>
    <col min="15" max="15" width="10.5703125" customWidth="1"/>
    <col min="16" max="16" width="8.5703125" customWidth="1"/>
    <col min="23" max="23" width="8.28515625" customWidth="1"/>
    <col min="24" max="24" width="9.5703125" customWidth="1"/>
    <col min="25" max="25" width="11.140625" bestFit="1" customWidth="1"/>
    <col min="28" max="28" width="11.28515625" bestFit="1" customWidth="1"/>
    <col min="29" max="29" width="28.42578125" bestFit="1" customWidth="1"/>
    <col min="30" max="30" width="44" bestFit="1" customWidth="1"/>
    <col min="31" max="31" width="39.7109375" customWidth="1"/>
    <col min="32" max="32" width="28" customWidth="1"/>
    <col min="33" max="33" width="14.7109375" customWidth="1"/>
  </cols>
  <sheetData>
    <row r="1" spans="1:33" ht="13.5" thickBot="1">
      <c r="A1" s="820" t="s">
        <v>411</v>
      </c>
      <c r="B1" s="822" t="s">
        <v>412</v>
      </c>
      <c r="C1" s="822" t="s">
        <v>413</v>
      </c>
      <c r="D1" s="820" t="s">
        <v>414</v>
      </c>
      <c r="E1" s="820" t="s">
        <v>415</v>
      </c>
      <c r="F1" s="820" t="s">
        <v>492</v>
      </c>
      <c r="G1" s="822" t="s">
        <v>416</v>
      </c>
      <c r="H1" s="822"/>
      <c r="I1" s="822"/>
      <c r="J1" s="822"/>
      <c r="K1" s="822"/>
      <c r="L1" s="822"/>
      <c r="M1" s="822"/>
      <c r="N1" s="822"/>
      <c r="O1" s="822"/>
      <c r="P1" s="822"/>
      <c r="Q1" s="822" t="s">
        <v>427</v>
      </c>
      <c r="R1" s="822"/>
      <c r="S1" s="822"/>
      <c r="T1" s="822"/>
      <c r="U1" s="822"/>
      <c r="V1" s="822"/>
      <c r="W1" s="822" t="s">
        <v>425</v>
      </c>
      <c r="X1" s="822"/>
      <c r="Y1" s="822" t="s">
        <v>426</v>
      </c>
    </row>
    <row r="2" spans="1:33" ht="24" customHeight="1" thickBot="1">
      <c r="A2" s="820"/>
      <c r="B2" s="822"/>
      <c r="C2" s="822"/>
      <c r="D2" s="820"/>
      <c r="E2" s="820"/>
      <c r="F2" s="820"/>
      <c r="G2" s="822" t="s">
        <v>417</v>
      </c>
      <c r="H2" s="822"/>
      <c r="I2" s="822" t="s">
        <v>418</v>
      </c>
      <c r="J2" s="822"/>
      <c r="K2" s="822" t="s">
        <v>419</v>
      </c>
      <c r="L2" s="822"/>
      <c r="M2" s="822" t="s">
        <v>420</v>
      </c>
      <c r="N2" s="822"/>
      <c r="O2" s="822" t="s">
        <v>421</v>
      </c>
      <c r="P2" s="822"/>
      <c r="Q2" s="822" t="s">
        <v>422</v>
      </c>
      <c r="R2" s="822"/>
      <c r="S2" s="822" t="s">
        <v>423</v>
      </c>
      <c r="T2" s="822"/>
      <c r="U2" s="822" t="s">
        <v>424</v>
      </c>
      <c r="V2" s="822"/>
      <c r="W2" s="822"/>
      <c r="X2" s="822"/>
      <c r="Y2" s="822"/>
    </row>
    <row r="3" spans="1:33" ht="18.75" customHeight="1">
      <c r="A3" s="821"/>
      <c r="B3" s="823"/>
      <c r="C3" s="823"/>
      <c r="D3" s="821"/>
      <c r="E3" s="821"/>
      <c r="F3" s="821"/>
      <c r="G3" s="566" t="s">
        <v>255</v>
      </c>
      <c r="H3" s="566" t="s">
        <v>15</v>
      </c>
      <c r="I3" s="566" t="s">
        <v>255</v>
      </c>
      <c r="J3" s="566" t="s">
        <v>15</v>
      </c>
      <c r="K3" s="566" t="s">
        <v>255</v>
      </c>
      <c r="L3" s="566" t="s">
        <v>15</v>
      </c>
      <c r="M3" s="566" t="s">
        <v>255</v>
      </c>
      <c r="N3" s="566" t="s">
        <v>15</v>
      </c>
      <c r="O3" s="566" t="s">
        <v>255</v>
      </c>
      <c r="P3" s="566" t="s">
        <v>15</v>
      </c>
      <c r="Q3" s="566" t="s">
        <v>255</v>
      </c>
      <c r="R3" s="566" t="s">
        <v>15</v>
      </c>
      <c r="S3" s="566" t="s">
        <v>255</v>
      </c>
      <c r="T3" s="566" t="s">
        <v>15</v>
      </c>
      <c r="U3" s="566" t="s">
        <v>255</v>
      </c>
      <c r="V3" s="566" t="s">
        <v>15</v>
      </c>
      <c r="W3" s="561" t="s">
        <v>255</v>
      </c>
      <c r="X3" s="561" t="s">
        <v>15</v>
      </c>
      <c r="Y3" s="561" t="s">
        <v>15</v>
      </c>
    </row>
    <row r="4" spans="1:33">
      <c r="A4" s="565" t="s">
        <v>494</v>
      </c>
      <c r="B4" s="564" t="s">
        <v>523</v>
      </c>
      <c r="C4" s="564" t="s">
        <v>35</v>
      </c>
      <c r="D4" s="567">
        <v>4438.04</v>
      </c>
      <c r="E4" s="564">
        <v>80.56</v>
      </c>
      <c r="F4" s="567">
        <v>3575.28</v>
      </c>
      <c r="G4" s="564">
        <v>12.11</v>
      </c>
      <c r="H4" s="564">
        <v>537.62</v>
      </c>
      <c r="I4" s="564">
        <v>0.39</v>
      </c>
      <c r="J4" s="564">
        <v>17.09</v>
      </c>
      <c r="K4" s="564" t="s">
        <v>493</v>
      </c>
      <c r="L4" s="564" t="s">
        <v>493</v>
      </c>
      <c r="M4" s="564" t="s">
        <v>493</v>
      </c>
      <c r="N4" s="564" t="s">
        <v>493</v>
      </c>
      <c r="O4" s="564">
        <v>7.0000000000000007E-2</v>
      </c>
      <c r="P4" s="564">
        <v>3.14</v>
      </c>
      <c r="Q4" s="564" t="s">
        <v>493</v>
      </c>
      <c r="R4" s="564" t="s">
        <v>493</v>
      </c>
      <c r="S4" s="564">
        <v>4.4000000000000004</v>
      </c>
      <c r="T4" s="564">
        <v>195.17</v>
      </c>
      <c r="U4" s="564">
        <v>0.13</v>
      </c>
      <c r="V4" s="564">
        <v>5.8</v>
      </c>
      <c r="W4" s="564">
        <v>97.66</v>
      </c>
      <c r="X4" s="567">
        <v>4334.1099999999997</v>
      </c>
      <c r="Y4" s="567">
        <v>8772.14</v>
      </c>
    </row>
    <row r="5" spans="1:33">
      <c r="A5" s="565" t="s">
        <v>495</v>
      </c>
      <c r="B5" s="564" t="s">
        <v>524</v>
      </c>
      <c r="C5" s="564" t="s">
        <v>35</v>
      </c>
      <c r="D5" s="567">
        <v>5917.38</v>
      </c>
      <c r="E5" s="564">
        <v>80.56</v>
      </c>
      <c r="F5" s="567">
        <v>4767.04</v>
      </c>
      <c r="G5" s="564">
        <v>9.09</v>
      </c>
      <c r="H5" s="564">
        <v>537.62</v>
      </c>
      <c r="I5" s="564">
        <v>0.28999999999999998</v>
      </c>
      <c r="J5" s="564">
        <v>17.09</v>
      </c>
      <c r="K5" s="564" t="s">
        <v>493</v>
      </c>
      <c r="L5" s="564" t="s">
        <v>493</v>
      </c>
      <c r="M5" s="564" t="s">
        <v>493</v>
      </c>
      <c r="N5" s="564" t="s">
        <v>493</v>
      </c>
      <c r="O5" s="564">
        <v>0.05</v>
      </c>
      <c r="P5" s="564">
        <v>3.14</v>
      </c>
      <c r="Q5" s="564" t="s">
        <v>493</v>
      </c>
      <c r="R5" s="564" t="s">
        <v>493</v>
      </c>
      <c r="S5" s="564">
        <v>3.3</v>
      </c>
      <c r="T5" s="564">
        <v>195.17</v>
      </c>
      <c r="U5" s="564">
        <v>0.1</v>
      </c>
      <c r="V5" s="564">
        <v>5.8</v>
      </c>
      <c r="W5" s="564">
        <v>93.38</v>
      </c>
      <c r="X5" s="567">
        <v>5525.87</v>
      </c>
      <c r="Y5" s="567">
        <v>11443.25</v>
      </c>
    </row>
    <row r="6" spans="1:33">
      <c r="A6" s="565" t="s">
        <v>496</v>
      </c>
      <c r="B6" s="564" t="s">
        <v>525</v>
      </c>
      <c r="C6" s="564" t="s">
        <v>35</v>
      </c>
      <c r="D6" s="567">
        <v>9703.3700000000008</v>
      </c>
      <c r="E6" s="564">
        <v>80.56</v>
      </c>
      <c r="F6" s="567">
        <v>7817.03</v>
      </c>
      <c r="G6" s="564">
        <v>5.54</v>
      </c>
      <c r="H6" s="564">
        <v>537.62</v>
      </c>
      <c r="I6" s="564">
        <v>0.18</v>
      </c>
      <c r="J6" s="564">
        <v>17.09</v>
      </c>
      <c r="K6" s="564" t="s">
        <v>493</v>
      </c>
      <c r="L6" s="564" t="s">
        <v>493</v>
      </c>
      <c r="M6" s="564" t="s">
        <v>493</v>
      </c>
      <c r="N6" s="564" t="s">
        <v>493</v>
      </c>
      <c r="O6" s="564">
        <v>0.03</v>
      </c>
      <c r="P6" s="564">
        <v>3.14</v>
      </c>
      <c r="Q6" s="564" t="s">
        <v>493</v>
      </c>
      <c r="R6" s="564" t="s">
        <v>493</v>
      </c>
      <c r="S6" s="564">
        <v>2.0099999999999998</v>
      </c>
      <c r="T6" s="564">
        <v>195.17</v>
      </c>
      <c r="U6" s="564">
        <v>0.06</v>
      </c>
      <c r="V6" s="564">
        <v>5.8</v>
      </c>
      <c r="W6" s="564">
        <v>88.38</v>
      </c>
      <c r="X6" s="567">
        <v>8575.86</v>
      </c>
      <c r="Y6" s="567">
        <v>18279.23</v>
      </c>
    </row>
    <row r="7" spans="1:33">
      <c r="A7" s="565" t="s">
        <v>497</v>
      </c>
      <c r="B7" s="564" t="s">
        <v>526</v>
      </c>
      <c r="C7" s="564" t="s">
        <v>35</v>
      </c>
      <c r="D7" s="567">
        <v>3811</v>
      </c>
      <c r="E7" s="564">
        <v>80.319999999999993</v>
      </c>
      <c r="F7" s="567">
        <v>3060.99</v>
      </c>
      <c r="G7" s="564">
        <v>14.11</v>
      </c>
      <c r="H7" s="564">
        <v>537.62</v>
      </c>
      <c r="I7" s="564" t="s">
        <v>493</v>
      </c>
      <c r="J7" s="564" t="s">
        <v>493</v>
      </c>
      <c r="K7" s="564" t="s">
        <v>493</v>
      </c>
      <c r="L7" s="564" t="s">
        <v>493</v>
      </c>
      <c r="M7" s="564" t="s">
        <v>493</v>
      </c>
      <c r="N7" s="564" t="s">
        <v>493</v>
      </c>
      <c r="O7" s="564">
        <v>0.09</v>
      </c>
      <c r="P7" s="564">
        <v>3.42</v>
      </c>
      <c r="Q7" s="564" t="s">
        <v>493</v>
      </c>
      <c r="R7" s="564" t="s">
        <v>493</v>
      </c>
      <c r="S7" s="564">
        <v>5.12</v>
      </c>
      <c r="T7" s="564">
        <v>195.17</v>
      </c>
      <c r="U7" s="564">
        <v>0.15</v>
      </c>
      <c r="V7" s="564">
        <v>5.8</v>
      </c>
      <c r="W7" s="564">
        <v>99.79</v>
      </c>
      <c r="X7" s="567">
        <v>3803.01</v>
      </c>
      <c r="Y7" s="567">
        <v>7614</v>
      </c>
    </row>
    <row r="8" spans="1:33">
      <c r="A8" s="565" t="s">
        <v>498</v>
      </c>
      <c r="B8" s="564" t="s">
        <v>527</v>
      </c>
      <c r="C8" s="564" t="s">
        <v>35</v>
      </c>
      <c r="D8" s="567">
        <v>5081.33</v>
      </c>
      <c r="E8" s="564">
        <v>80.319999999999993</v>
      </c>
      <c r="F8" s="567">
        <v>4081.32</v>
      </c>
      <c r="G8" s="564">
        <v>10.58</v>
      </c>
      <c r="H8" s="564">
        <v>537.62</v>
      </c>
      <c r="I8" s="564" t="s">
        <v>493</v>
      </c>
      <c r="J8" s="564" t="s">
        <v>493</v>
      </c>
      <c r="K8" s="564" t="s">
        <v>493</v>
      </c>
      <c r="L8" s="564" t="s">
        <v>493</v>
      </c>
      <c r="M8" s="564" t="s">
        <v>493</v>
      </c>
      <c r="N8" s="564" t="s">
        <v>493</v>
      </c>
      <c r="O8" s="564">
        <v>7.0000000000000007E-2</v>
      </c>
      <c r="P8" s="564">
        <v>3.42</v>
      </c>
      <c r="Q8" s="564" t="s">
        <v>493</v>
      </c>
      <c r="R8" s="564" t="s">
        <v>493</v>
      </c>
      <c r="S8" s="564">
        <v>3.84</v>
      </c>
      <c r="T8" s="564">
        <v>195.17</v>
      </c>
      <c r="U8" s="564">
        <v>0.11</v>
      </c>
      <c r="V8" s="564">
        <v>5.8</v>
      </c>
      <c r="W8" s="564">
        <v>94.92</v>
      </c>
      <c r="X8" s="567">
        <v>4823.34</v>
      </c>
      <c r="Y8" s="567">
        <v>9904.67</v>
      </c>
    </row>
    <row r="9" spans="1:33" ht="13.5" thickBot="1">
      <c r="A9" s="565" t="s">
        <v>499</v>
      </c>
      <c r="B9" s="564" t="s">
        <v>528</v>
      </c>
      <c r="C9" s="564" t="s">
        <v>35</v>
      </c>
      <c r="D9" s="567">
        <v>8810.58</v>
      </c>
      <c r="E9" s="564">
        <v>80.319999999999993</v>
      </c>
      <c r="F9" s="567">
        <v>7076.66</v>
      </c>
      <c r="G9" s="564">
        <v>6.1</v>
      </c>
      <c r="H9" s="564">
        <v>537.62</v>
      </c>
      <c r="I9" s="564" t="s">
        <v>493</v>
      </c>
      <c r="J9" s="564" t="s">
        <v>493</v>
      </c>
      <c r="K9" s="564" t="s">
        <v>493</v>
      </c>
      <c r="L9" s="564" t="s">
        <v>493</v>
      </c>
      <c r="M9" s="564" t="s">
        <v>493</v>
      </c>
      <c r="N9" s="564" t="s">
        <v>493</v>
      </c>
      <c r="O9" s="564">
        <v>0.04</v>
      </c>
      <c r="P9" s="564">
        <v>3.42</v>
      </c>
      <c r="Q9" s="564" t="s">
        <v>493</v>
      </c>
      <c r="R9" s="564" t="s">
        <v>493</v>
      </c>
      <c r="S9" s="564">
        <v>2.2200000000000002</v>
      </c>
      <c r="T9" s="564">
        <v>195.17</v>
      </c>
      <c r="U9" s="564">
        <v>7.0000000000000007E-2</v>
      </c>
      <c r="V9" s="564">
        <v>5.8</v>
      </c>
      <c r="W9" s="564">
        <v>88.74</v>
      </c>
      <c r="X9" s="567">
        <v>7818.68</v>
      </c>
      <c r="Y9" s="567">
        <v>16629.259999999998</v>
      </c>
    </row>
    <row r="10" spans="1:33" ht="13.5" thickBot="1">
      <c r="A10" s="565" t="s">
        <v>500</v>
      </c>
      <c r="B10" s="564" t="s">
        <v>529</v>
      </c>
      <c r="C10" s="564" t="s">
        <v>35</v>
      </c>
      <c r="D10" s="567">
        <v>8882.5</v>
      </c>
      <c r="E10" s="564">
        <v>80.09</v>
      </c>
      <c r="F10" s="567">
        <v>7113.99</v>
      </c>
      <c r="G10" s="564">
        <v>6.05</v>
      </c>
      <c r="H10" s="564">
        <v>537.62</v>
      </c>
      <c r="I10" s="564">
        <v>0.19</v>
      </c>
      <c r="J10" s="564">
        <v>17.09</v>
      </c>
      <c r="K10" s="564" t="s">
        <v>493</v>
      </c>
      <c r="L10" s="564" t="s">
        <v>493</v>
      </c>
      <c r="M10" s="564" t="s">
        <v>493</v>
      </c>
      <c r="N10" s="564" t="s">
        <v>493</v>
      </c>
      <c r="O10" s="564">
        <v>0.02</v>
      </c>
      <c r="P10" s="564">
        <v>2.19</v>
      </c>
      <c r="Q10" s="564" t="s">
        <v>493</v>
      </c>
      <c r="R10" s="564" t="s">
        <v>493</v>
      </c>
      <c r="S10" s="564">
        <v>2.2000000000000002</v>
      </c>
      <c r="T10" s="564">
        <v>195.17</v>
      </c>
      <c r="U10" s="564">
        <v>7.0000000000000007E-2</v>
      </c>
      <c r="V10" s="564">
        <v>5.8</v>
      </c>
      <c r="W10" s="564">
        <v>88.62</v>
      </c>
      <c r="X10" s="567">
        <v>7871.87</v>
      </c>
      <c r="Y10" s="567">
        <v>16754.37</v>
      </c>
      <c r="AB10" s="823" t="s">
        <v>586</v>
      </c>
      <c r="AC10" s="823" t="s">
        <v>587</v>
      </c>
      <c r="AD10" s="823" t="s">
        <v>588</v>
      </c>
      <c r="AE10" s="823" t="s">
        <v>413</v>
      </c>
      <c r="AF10" s="824" t="s">
        <v>589</v>
      </c>
      <c r="AG10" s="825"/>
    </row>
    <row r="11" spans="1:33">
      <c r="A11" s="565" t="s">
        <v>501</v>
      </c>
      <c r="B11" s="564" t="s">
        <v>530</v>
      </c>
      <c r="C11" s="564" t="s">
        <v>35</v>
      </c>
      <c r="D11" s="567">
        <v>9916.8799999999992</v>
      </c>
      <c r="E11" s="564">
        <v>80.09</v>
      </c>
      <c r="F11" s="567">
        <v>7942.43</v>
      </c>
      <c r="G11" s="564">
        <v>5.42</v>
      </c>
      <c r="H11" s="564">
        <v>537.62</v>
      </c>
      <c r="I11" s="564">
        <v>0.17</v>
      </c>
      <c r="J11" s="564">
        <v>17.09</v>
      </c>
      <c r="K11" s="564" t="s">
        <v>493</v>
      </c>
      <c r="L11" s="564" t="s">
        <v>493</v>
      </c>
      <c r="M11" s="564" t="s">
        <v>493</v>
      </c>
      <c r="N11" s="564" t="s">
        <v>493</v>
      </c>
      <c r="O11" s="564">
        <v>0.02</v>
      </c>
      <c r="P11" s="564">
        <v>2.19</v>
      </c>
      <c r="Q11" s="564" t="s">
        <v>493</v>
      </c>
      <c r="R11" s="564" t="s">
        <v>493</v>
      </c>
      <c r="S11" s="564">
        <v>1.97</v>
      </c>
      <c r="T11" s="564">
        <v>195.17</v>
      </c>
      <c r="U11" s="564">
        <v>0.06</v>
      </c>
      <c r="V11" s="564">
        <v>5.8</v>
      </c>
      <c r="W11" s="564">
        <v>87.73</v>
      </c>
      <c r="X11" s="567">
        <v>8700.2999999999993</v>
      </c>
      <c r="Y11" s="567">
        <v>18617.18</v>
      </c>
      <c r="AB11" s="826"/>
      <c r="AC11" s="826"/>
      <c r="AD11" s="826"/>
      <c r="AE11" s="826"/>
      <c r="AF11" s="561" t="s">
        <v>590</v>
      </c>
      <c r="AG11" s="561" t="s">
        <v>591</v>
      </c>
    </row>
    <row r="12" spans="1:33">
      <c r="A12" s="565" t="s">
        <v>502</v>
      </c>
      <c r="B12" s="564" t="s">
        <v>531</v>
      </c>
      <c r="C12" s="564" t="s">
        <v>35</v>
      </c>
      <c r="D12" s="567">
        <v>12682.68</v>
      </c>
      <c r="E12" s="564">
        <v>80.09</v>
      </c>
      <c r="F12" s="567">
        <v>10157.56</v>
      </c>
      <c r="G12" s="564">
        <v>4.24</v>
      </c>
      <c r="H12" s="564">
        <v>537.62</v>
      </c>
      <c r="I12" s="564">
        <v>0.13</v>
      </c>
      <c r="J12" s="564">
        <v>17.09</v>
      </c>
      <c r="K12" s="564" t="s">
        <v>493</v>
      </c>
      <c r="L12" s="564" t="s">
        <v>493</v>
      </c>
      <c r="M12" s="564" t="s">
        <v>493</v>
      </c>
      <c r="N12" s="564" t="s">
        <v>493</v>
      </c>
      <c r="O12" s="564">
        <v>0.02</v>
      </c>
      <c r="P12" s="564">
        <v>2.19</v>
      </c>
      <c r="Q12" s="564" t="s">
        <v>493</v>
      </c>
      <c r="R12" s="564" t="s">
        <v>493</v>
      </c>
      <c r="S12" s="564">
        <v>1.54</v>
      </c>
      <c r="T12" s="564">
        <v>195.17</v>
      </c>
      <c r="U12" s="564">
        <v>0.05</v>
      </c>
      <c r="V12" s="564">
        <v>5.8</v>
      </c>
      <c r="W12" s="564">
        <v>86.07</v>
      </c>
      <c r="X12" s="567">
        <v>10915.43</v>
      </c>
      <c r="Y12" s="567">
        <v>23598.11</v>
      </c>
      <c r="AB12" s="827" t="s">
        <v>184</v>
      </c>
      <c r="AC12" s="562" t="s">
        <v>592</v>
      </c>
      <c r="AD12" s="563" t="s">
        <v>595</v>
      </c>
      <c r="AE12" s="564" t="s">
        <v>598</v>
      </c>
      <c r="AF12" s="564">
        <v>23.89</v>
      </c>
      <c r="AG12" s="564">
        <v>3.23</v>
      </c>
    </row>
    <row r="13" spans="1:33">
      <c r="A13" s="565" t="s">
        <v>503</v>
      </c>
      <c r="B13" s="564" t="s">
        <v>532</v>
      </c>
      <c r="C13" s="564" t="s">
        <v>35</v>
      </c>
      <c r="D13" s="567">
        <v>2756.58</v>
      </c>
      <c r="E13" s="564">
        <v>80.790000000000006</v>
      </c>
      <c r="F13" s="567">
        <v>2227.04</v>
      </c>
      <c r="G13" s="564">
        <v>19.5</v>
      </c>
      <c r="H13" s="564">
        <v>537.62</v>
      </c>
      <c r="I13" s="564">
        <v>0.62</v>
      </c>
      <c r="J13" s="564">
        <v>17.09</v>
      </c>
      <c r="K13" s="564" t="s">
        <v>493</v>
      </c>
      <c r="L13" s="564" t="s">
        <v>493</v>
      </c>
      <c r="M13" s="564">
        <v>1.95</v>
      </c>
      <c r="N13" s="564">
        <v>53.64</v>
      </c>
      <c r="O13" s="564">
        <v>0.16</v>
      </c>
      <c r="P13" s="564">
        <v>4.42</v>
      </c>
      <c r="Q13" s="564" t="s">
        <v>493</v>
      </c>
      <c r="R13" s="564" t="s">
        <v>493</v>
      </c>
      <c r="S13" s="564">
        <v>7.08</v>
      </c>
      <c r="T13" s="564">
        <v>195.17</v>
      </c>
      <c r="U13" s="564">
        <v>0.21</v>
      </c>
      <c r="V13" s="564">
        <v>5.8</v>
      </c>
      <c r="W13" s="564">
        <v>110.31</v>
      </c>
      <c r="X13" s="567">
        <v>3040.78</v>
      </c>
      <c r="Y13" s="567">
        <v>5797.37</v>
      </c>
      <c r="AB13" s="827"/>
      <c r="AC13" s="565" t="s">
        <v>593</v>
      </c>
      <c r="AD13" s="564" t="s">
        <v>596</v>
      </c>
      <c r="AE13" s="564" t="s">
        <v>598</v>
      </c>
      <c r="AF13" s="564">
        <v>46.14</v>
      </c>
      <c r="AG13" s="564">
        <v>12.18</v>
      </c>
    </row>
    <row r="14" spans="1:33">
      <c r="A14" s="565" t="s">
        <v>504</v>
      </c>
      <c r="B14" s="564" t="s">
        <v>533</v>
      </c>
      <c r="C14" s="564" t="s">
        <v>35</v>
      </c>
      <c r="D14" s="567">
        <v>3675.44</v>
      </c>
      <c r="E14" s="564">
        <v>80.790000000000006</v>
      </c>
      <c r="F14" s="567">
        <v>2969.39</v>
      </c>
      <c r="G14" s="564">
        <v>14.63</v>
      </c>
      <c r="H14" s="564">
        <v>537.62</v>
      </c>
      <c r="I14" s="564">
        <v>0.46</v>
      </c>
      <c r="J14" s="564">
        <v>17.09</v>
      </c>
      <c r="K14" s="564" t="s">
        <v>493</v>
      </c>
      <c r="L14" s="564" t="s">
        <v>493</v>
      </c>
      <c r="M14" s="564" t="s">
        <v>493</v>
      </c>
      <c r="N14" s="564" t="s">
        <v>493</v>
      </c>
      <c r="O14" s="564">
        <v>0.12</v>
      </c>
      <c r="P14" s="564">
        <v>4.42</v>
      </c>
      <c r="Q14" s="564" t="s">
        <v>493</v>
      </c>
      <c r="R14" s="564" t="s">
        <v>493</v>
      </c>
      <c r="S14" s="564">
        <v>5.31</v>
      </c>
      <c r="T14" s="564">
        <v>195.17</v>
      </c>
      <c r="U14" s="564">
        <v>0.16</v>
      </c>
      <c r="V14" s="564">
        <v>5.8</v>
      </c>
      <c r="W14" s="564">
        <v>101.47</v>
      </c>
      <c r="X14" s="567">
        <v>3729.49</v>
      </c>
      <c r="Y14" s="567">
        <v>7404.94</v>
      </c>
      <c r="AB14" s="827"/>
      <c r="AC14" s="565" t="s">
        <v>594</v>
      </c>
      <c r="AD14" s="564" t="s">
        <v>597</v>
      </c>
      <c r="AE14" s="564" t="s">
        <v>598</v>
      </c>
      <c r="AF14" s="564">
        <v>52.03</v>
      </c>
      <c r="AG14" s="564">
        <v>30.93</v>
      </c>
    </row>
    <row r="15" spans="1:33">
      <c r="A15" s="565" t="s">
        <v>505</v>
      </c>
      <c r="B15" s="564" t="s">
        <v>534</v>
      </c>
      <c r="C15" s="564" t="s">
        <v>35</v>
      </c>
      <c r="D15" s="567">
        <v>6697.35</v>
      </c>
      <c r="E15" s="564">
        <v>80.790000000000006</v>
      </c>
      <c r="F15" s="567">
        <v>5410.79</v>
      </c>
      <c r="G15" s="564">
        <v>8.0299999999999994</v>
      </c>
      <c r="H15" s="564">
        <v>537.62</v>
      </c>
      <c r="I15" s="564">
        <v>0.26</v>
      </c>
      <c r="J15" s="564">
        <v>17.09</v>
      </c>
      <c r="K15" s="564" t="s">
        <v>493</v>
      </c>
      <c r="L15" s="564" t="s">
        <v>493</v>
      </c>
      <c r="M15" s="564" t="s">
        <v>493</v>
      </c>
      <c r="N15" s="564" t="s">
        <v>493</v>
      </c>
      <c r="O15" s="564">
        <v>7.0000000000000007E-2</v>
      </c>
      <c r="P15" s="564">
        <v>4.42</v>
      </c>
      <c r="Q15" s="564" t="s">
        <v>493</v>
      </c>
      <c r="R15" s="564" t="s">
        <v>493</v>
      </c>
      <c r="S15" s="564">
        <v>2.91</v>
      </c>
      <c r="T15" s="564">
        <v>195.17</v>
      </c>
      <c r="U15" s="564">
        <v>0.09</v>
      </c>
      <c r="V15" s="564">
        <v>5.8</v>
      </c>
      <c r="W15" s="564">
        <v>92.14</v>
      </c>
      <c r="X15" s="567">
        <v>6170.89</v>
      </c>
      <c r="Y15" s="567">
        <v>12868.24</v>
      </c>
    </row>
    <row r="16" spans="1:33">
      <c r="A16" s="565" t="s">
        <v>506</v>
      </c>
      <c r="B16" s="564" t="s">
        <v>535</v>
      </c>
      <c r="C16" s="564" t="s">
        <v>35</v>
      </c>
      <c r="D16" s="567">
        <v>1198.99</v>
      </c>
      <c r="E16" s="564">
        <v>78.61</v>
      </c>
      <c r="F16" s="567">
        <v>942.53</v>
      </c>
      <c r="G16" s="564">
        <v>44.84</v>
      </c>
      <c r="H16" s="564">
        <v>537.62</v>
      </c>
      <c r="I16" s="564">
        <v>1.74</v>
      </c>
      <c r="J16" s="564">
        <v>20.8</v>
      </c>
      <c r="K16" s="564">
        <v>0.09</v>
      </c>
      <c r="L16" s="564">
        <v>1.08</v>
      </c>
      <c r="M16" s="564">
        <v>12.27</v>
      </c>
      <c r="N16" s="564">
        <v>147.09</v>
      </c>
      <c r="O16" s="564">
        <v>0.55000000000000004</v>
      </c>
      <c r="P16" s="564">
        <v>6.55</v>
      </c>
      <c r="Q16" s="564" t="s">
        <v>493</v>
      </c>
      <c r="R16" s="564" t="s">
        <v>493</v>
      </c>
      <c r="S16" s="564">
        <v>16.28</v>
      </c>
      <c r="T16" s="564">
        <v>195.17</v>
      </c>
      <c r="U16" s="564">
        <v>0.48</v>
      </c>
      <c r="V16" s="564">
        <v>5.8</v>
      </c>
      <c r="W16" s="564">
        <v>154.85</v>
      </c>
      <c r="X16" s="567">
        <v>1856.65</v>
      </c>
      <c r="Y16" s="567">
        <v>3055.65</v>
      </c>
    </row>
    <row r="17" spans="1:32" ht="13.5" thickBot="1">
      <c r="A17" s="565" t="s">
        <v>507</v>
      </c>
      <c r="B17" s="564" t="s">
        <v>536</v>
      </c>
      <c r="C17" s="564" t="s">
        <v>35</v>
      </c>
      <c r="D17" s="567">
        <v>1501.2</v>
      </c>
      <c r="E17" s="564">
        <v>77.23</v>
      </c>
      <c r="F17" s="567">
        <v>1159.3800000000001</v>
      </c>
      <c r="G17" s="564">
        <v>35.81</v>
      </c>
      <c r="H17" s="564">
        <v>537.62</v>
      </c>
      <c r="I17" s="564" t="s">
        <v>493</v>
      </c>
      <c r="J17" s="564" t="s">
        <v>493</v>
      </c>
      <c r="K17" s="564" t="s">
        <v>493</v>
      </c>
      <c r="L17" s="564" t="s">
        <v>493</v>
      </c>
      <c r="M17" s="564">
        <v>8.59</v>
      </c>
      <c r="N17" s="564">
        <v>128.96</v>
      </c>
      <c r="O17" s="564">
        <v>0.3</v>
      </c>
      <c r="P17" s="564">
        <v>4.47</v>
      </c>
      <c r="Q17" s="564" t="s">
        <v>493</v>
      </c>
      <c r="R17" s="564" t="s">
        <v>493</v>
      </c>
      <c r="S17" s="564">
        <v>13</v>
      </c>
      <c r="T17" s="564">
        <v>195.17</v>
      </c>
      <c r="U17" s="564">
        <v>0.39</v>
      </c>
      <c r="V17" s="564">
        <v>5.8</v>
      </c>
      <c r="W17" s="564">
        <v>135.32</v>
      </c>
      <c r="X17" s="567">
        <v>2031.4</v>
      </c>
      <c r="Y17" s="567">
        <v>3532.6</v>
      </c>
    </row>
    <row r="18" spans="1:32">
      <c r="A18" s="565" t="s">
        <v>508</v>
      </c>
      <c r="B18" s="564" t="s">
        <v>537</v>
      </c>
      <c r="C18" s="564" t="s">
        <v>35</v>
      </c>
      <c r="D18" s="567">
        <v>1374.07</v>
      </c>
      <c r="E18" s="564">
        <v>76.59</v>
      </c>
      <c r="F18" s="567">
        <v>1052.4000000000001</v>
      </c>
      <c r="G18" s="564">
        <v>39.130000000000003</v>
      </c>
      <c r="H18" s="564">
        <v>537.62</v>
      </c>
      <c r="I18" s="564">
        <v>1.51</v>
      </c>
      <c r="J18" s="564">
        <v>20.8</v>
      </c>
      <c r="K18" s="564">
        <v>0.16</v>
      </c>
      <c r="L18" s="564">
        <v>2.23</v>
      </c>
      <c r="M18" s="564">
        <v>9.94</v>
      </c>
      <c r="N18" s="564">
        <v>136.59</v>
      </c>
      <c r="O18" s="564">
        <v>0.31</v>
      </c>
      <c r="P18" s="564">
        <v>4.3099999999999996</v>
      </c>
      <c r="Q18" s="564" t="s">
        <v>493</v>
      </c>
      <c r="R18" s="564" t="s">
        <v>493</v>
      </c>
      <c r="S18" s="564">
        <v>14.2</v>
      </c>
      <c r="T18" s="564">
        <v>195.17</v>
      </c>
      <c r="U18" s="564">
        <v>0.42</v>
      </c>
      <c r="V18" s="564">
        <v>5.8</v>
      </c>
      <c r="W18" s="564">
        <v>142.27000000000001</v>
      </c>
      <c r="X18" s="567">
        <v>1954.93</v>
      </c>
      <c r="Y18" s="567">
        <v>3329</v>
      </c>
      <c r="AB18" s="823" t="s">
        <v>586</v>
      </c>
      <c r="AC18" s="823" t="s">
        <v>587</v>
      </c>
      <c r="AD18" s="823" t="s">
        <v>588</v>
      </c>
      <c r="AE18" s="823" t="s">
        <v>413</v>
      </c>
      <c r="AF18" s="834" t="s">
        <v>599</v>
      </c>
    </row>
    <row r="19" spans="1:32">
      <c r="A19" s="565" t="s">
        <v>509</v>
      </c>
      <c r="B19" s="564" t="s">
        <v>538</v>
      </c>
      <c r="C19" s="564" t="s">
        <v>35</v>
      </c>
      <c r="D19" s="567">
        <v>1109.3399999999999</v>
      </c>
      <c r="E19" s="564">
        <v>76.709999999999994</v>
      </c>
      <c r="F19" s="567">
        <v>850.97</v>
      </c>
      <c r="G19" s="564">
        <v>48.46</v>
      </c>
      <c r="H19" s="564">
        <v>537.62</v>
      </c>
      <c r="I19" s="564">
        <v>1.88</v>
      </c>
      <c r="J19" s="564">
        <v>20.8</v>
      </c>
      <c r="K19" s="564">
        <v>0.08</v>
      </c>
      <c r="L19" s="564">
        <v>0.94</v>
      </c>
      <c r="M19" s="564">
        <v>13.74</v>
      </c>
      <c r="N19" s="564">
        <v>152.47</v>
      </c>
      <c r="O19" s="564">
        <v>0.32</v>
      </c>
      <c r="P19" s="564">
        <v>3.54</v>
      </c>
      <c r="Q19" s="564" t="s">
        <v>493</v>
      </c>
      <c r="R19" s="564" t="s">
        <v>493</v>
      </c>
      <c r="S19" s="564">
        <v>17.59</v>
      </c>
      <c r="T19" s="564">
        <v>195.17</v>
      </c>
      <c r="U19" s="564">
        <v>0.52</v>
      </c>
      <c r="V19" s="564">
        <v>5.8</v>
      </c>
      <c r="W19" s="564">
        <v>159.31</v>
      </c>
      <c r="X19" s="567">
        <v>1767.33</v>
      </c>
      <c r="Y19" s="567">
        <v>2876.67</v>
      </c>
      <c r="AB19" s="826"/>
      <c r="AC19" s="826"/>
      <c r="AD19" s="826"/>
      <c r="AE19" s="826"/>
      <c r="AF19" s="835"/>
    </row>
    <row r="20" spans="1:32">
      <c r="A20" s="565" t="s">
        <v>510</v>
      </c>
      <c r="B20" s="564" t="s">
        <v>539</v>
      </c>
      <c r="C20" s="564" t="s">
        <v>35</v>
      </c>
      <c r="D20" s="567">
        <v>2836.43</v>
      </c>
      <c r="E20" s="564">
        <v>80.55</v>
      </c>
      <c r="F20" s="567">
        <v>2284.7399999999998</v>
      </c>
      <c r="G20" s="564">
        <v>18.95</v>
      </c>
      <c r="H20" s="564">
        <v>537.62</v>
      </c>
      <c r="I20" s="564">
        <v>0.6</v>
      </c>
      <c r="J20" s="564">
        <v>17.09</v>
      </c>
      <c r="K20" s="564" t="s">
        <v>493</v>
      </c>
      <c r="L20" s="564" t="s">
        <v>493</v>
      </c>
      <c r="M20" s="564">
        <v>1.72</v>
      </c>
      <c r="N20" s="564">
        <v>48.85</v>
      </c>
      <c r="O20" s="564">
        <v>0.14000000000000001</v>
      </c>
      <c r="P20" s="564">
        <v>3.94</v>
      </c>
      <c r="Q20" s="564" t="s">
        <v>493</v>
      </c>
      <c r="R20" s="564" t="s">
        <v>493</v>
      </c>
      <c r="S20" s="564">
        <v>6.88</v>
      </c>
      <c r="T20" s="564">
        <v>195.17</v>
      </c>
      <c r="U20" s="564">
        <v>0.2</v>
      </c>
      <c r="V20" s="564">
        <v>5.8</v>
      </c>
      <c r="W20" s="564">
        <v>109.05</v>
      </c>
      <c r="X20" s="567">
        <v>3093.21</v>
      </c>
      <c r="Y20" s="567">
        <v>5929.64</v>
      </c>
      <c r="AB20" s="828" t="s">
        <v>600</v>
      </c>
      <c r="AC20" s="564" t="s">
        <v>602</v>
      </c>
      <c r="AD20" s="564" t="s">
        <v>612</v>
      </c>
      <c r="AE20" s="564" t="s">
        <v>620</v>
      </c>
      <c r="AF20" s="564">
        <v>26.93</v>
      </c>
    </row>
    <row r="21" spans="1:32">
      <c r="A21" s="565" t="s">
        <v>511</v>
      </c>
      <c r="B21" s="564" t="s">
        <v>540</v>
      </c>
      <c r="C21" s="564" t="s">
        <v>35</v>
      </c>
      <c r="D21" s="567">
        <v>3781.9</v>
      </c>
      <c r="E21" s="564">
        <v>80.55</v>
      </c>
      <c r="F21" s="567">
        <v>3046.32</v>
      </c>
      <c r="G21" s="564">
        <v>14.22</v>
      </c>
      <c r="H21" s="564">
        <v>537.62</v>
      </c>
      <c r="I21" s="564">
        <v>0.45</v>
      </c>
      <c r="J21" s="564">
        <v>17.09</v>
      </c>
      <c r="K21" s="564" t="s">
        <v>493</v>
      </c>
      <c r="L21" s="564" t="s">
        <v>493</v>
      </c>
      <c r="M21" s="564" t="s">
        <v>493</v>
      </c>
      <c r="N21" s="564" t="s">
        <v>493</v>
      </c>
      <c r="O21" s="564">
        <v>0.1</v>
      </c>
      <c r="P21" s="564">
        <v>3.94</v>
      </c>
      <c r="Q21" s="564" t="s">
        <v>493</v>
      </c>
      <c r="R21" s="564" t="s">
        <v>493</v>
      </c>
      <c r="S21" s="564">
        <v>5.16</v>
      </c>
      <c r="T21" s="564">
        <v>195.17</v>
      </c>
      <c r="U21" s="564">
        <v>0.15</v>
      </c>
      <c r="V21" s="564">
        <v>5.8</v>
      </c>
      <c r="W21" s="564">
        <v>100.64</v>
      </c>
      <c r="X21" s="567">
        <v>3805.95</v>
      </c>
      <c r="Y21" s="567">
        <v>7587.85</v>
      </c>
      <c r="AB21" s="828"/>
      <c r="AC21" s="564" t="s">
        <v>603</v>
      </c>
      <c r="AD21" s="564" t="s">
        <v>613</v>
      </c>
      <c r="AE21" s="564" t="s">
        <v>620</v>
      </c>
      <c r="AF21" s="564">
        <v>14.71</v>
      </c>
    </row>
    <row r="22" spans="1:32">
      <c r="A22" s="565" t="s">
        <v>512</v>
      </c>
      <c r="B22" s="564" t="s">
        <v>541</v>
      </c>
      <c r="C22" s="564" t="s">
        <v>35</v>
      </c>
      <c r="D22" s="567">
        <v>6057.5</v>
      </c>
      <c r="E22" s="564">
        <v>80.55</v>
      </c>
      <c r="F22" s="567">
        <v>4879.32</v>
      </c>
      <c r="G22" s="564">
        <v>8.8800000000000008</v>
      </c>
      <c r="H22" s="564">
        <v>537.62</v>
      </c>
      <c r="I22" s="564">
        <v>0.28000000000000003</v>
      </c>
      <c r="J22" s="564">
        <v>17.09</v>
      </c>
      <c r="K22" s="564" t="s">
        <v>493</v>
      </c>
      <c r="L22" s="564" t="s">
        <v>493</v>
      </c>
      <c r="M22" s="564" t="s">
        <v>493</v>
      </c>
      <c r="N22" s="564" t="s">
        <v>493</v>
      </c>
      <c r="O22" s="564">
        <v>7.0000000000000007E-2</v>
      </c>
      <c r="P22" s="564">
        <v>3.94</v>
      </c>
      <c r="Q22" s="564" t="s">
        <v>493</v>
      </c>
      <c r="R22" s="564" t="s">
        <v>493</v>
      </c>
      <c r="S22" s="564">
        <v>3.22</v>
      </c>
      <c r="T22" s="564">
        <v>195.17</v>
      </c>
      <c r="U22" s="564">
        <v>0.1</v>
      </c>
      <c r="V22" s="564">
        <v>5.8</v>
      </c>
      <c r="W22" s="564">
        <v>93.09</v>
      </c>
      <c r="X22" s="567">
        <v>5638.94</v>
      </c>
      <c r="Y22" s="567">
        <v>11696.45</v>
      </c>
      <c r="AB22" s="828" t="s">
        <v>601</v>
      </c>
      <c r="AC22" s="564" t="s">
        <v>604</v>
      </c>
      <c r="AD22" s="564" t="s">
        <v>614</v>
      </c>
      <c r="AE22" s="564" t="s">
        <v>621</v>
      </c>
      <c r="AF22" s="564">
        <v>431.28</v>
      </c>
    </row>
    <row r="23" spans="1:32">
      <c r="A23" s="565" t="s">
        <v>513</v>
      </c>
      <c r="B23" s="564" t="s">
        <v>542</v>
      </c>
      <c r="C23" s="564" t="s">
        <v>35</v>
      </c>
      <c r="D23" s="567">
        <v>3374.76</v>
      </c>
      <c r="E23" s="564">
        <v>80.41</v>
      </c>
      <c r="F23" s="567">
        <v>2713.65</v>
      </c>
      <c r="G23" s="564">
        <v>15.93</v>
      </c>
      <c r="H23" s="564">
        <v>537.62</v>
      </c>
      <c r="I23" s="564" t="s">
        <v>493</v>
      </c>
      <c r="J23" s="564" t="s">
        <v>493</v>
      </c>
      <c r="K23" s="564" t="s">
        <v>493</v>
      </c>
      <c r="L23" s="564" t="s">
        <v>493</v>
      </c>
      <c r="M23" s="564">
        <v>0.49</v>
      </c>
      <c r="N23" s="564">
        <v>16.55</v>
      </c>
      <c r="O23" s="564">
        <v>0.09</v>
      </c>
      <c r="P23" s="564">
        <v>3.19</v>
      </c>
      <c r="Q23" s="564" t="s">
        <v>493</v>
      </c>
      <c r="R23" s="564" t="s">
        <v>493</v>
      </c>
      <c r="S23" s="564">
        <v>5.78</v>
      </c>
      <c r="T23" s="564">
        <v>195.17</v>
      </c>
      <c r="U23" s="564">
        <v>0.17</v>
      </c>
      <c r="V23" s="564">
        <v>5.8</v>
      </c>
      <c r="W23" s="564">
        <v>102.88</v>
      </c>
      <c r="X23" s="567">
        <v>3471.97</v>
      </c>
      <c r="Y23" s="567">
        <v>6846.74</v>
      </c>
      <c r="AB23" s="828"/>
      <c r="AC23" s="564" t="s">
        <v>605</v>
      </c>
      <c r="AD23" s="564" t="s">
        <v>615</v>
      </c>
      <c r="AE23" s="564" t="s">
        <v>621</v>
      </c>
      <c r="AF23" s="564">
        <v>16.86</v>
      </c>
    </row>
    <row r="24" spans="1:32" ht="12.75" customHeight="1">
      <c r="A24" s="565" t="s">
        <v>514</v>
      </c>
      <c r="B24" s="564" t="s">
        <v>543</v>
      </c>
      <c r="C24" s="564" t="s">
        <v>35</v>
      </c>
      <c r="D24" s="567">
        <v>4066.47</v>
      </c>
      <c r="E24" s="564">
        <v>80.239999999999995</v>
      </c>
      <c r="F24" s="567">
        <v>3262.94</v>
      </c>
      <c r="G24" s="564">
        <v>13.22</v>
      </c>
      <c r="H24" s="564">
        <v>537.62</v>
      </c>
      <c r="I24" s="564" t="s">
        <v>493</v>
      </c>
      <c r="J24" s="564" t="s">
        <v>493</v>
      </c>
      <c r="K24" s="564" t="s">
        <v>493</v>
      </c>
      <c r="L24" s="564" t="s">
        <v>493</v>
      </c>
      <c r="M24" s="564" t="s">
        <v>493</v>
      </c>
      <c r="N24" s="564" t="s">
        <v>493</v>
      </c>
      <c r="O24" s="564">
        <v>7.0000000000000007E-2</v>
      </c>
      <c r="P24" s="564">
        <v>2.78</v>
      </c>
      <c r="Q24" s="564" t="s">
        <v>493</v>
      </c>
      <c r="R24" s="564" t="s">
        <v>493</v>
      </c>
      <c r="S24" s="564">
        <v>4.8</v>
      </c>
      <c r="T24" s="564">
        <v>195.17</v>
      </c>
      <c r="U24" s="564">
        <v>0.14000000000000001</v>
      </c>
      <c r="V24" s="564">
        <v>5.8</v>
      </c>
      <c r="W24" s="564">
        <v>98.47</v>
      </c>
      <c r="X24" s="567">
        <v>4004.31</v>
      </c>
      <c r="Y24" s="567">
        <v>8070.79</v>
      </c>
      <c r="AB24" s="829" t="s">
        <v>623</v>
      </c>
      <c r="AC24" s="564" t="s">
        <v>606</v>
      </c>
      <c r="AD24" s="564" t="s">
        <v>616</v>
      </c>
      <c r="AE24" s="564" t="s">
        <v>622</v>
      </c>
      <c r="AF24" s="567">
        <v>4054.72</v>
      </c>
    </row>
    <row r="25" spans="1:32">
      <c r="A25" s="565" t="s">
        <v>515</v>
      </c>
      <c r="B25" s="564" t="s">
        <v>544</v>
      </c>
      <c r="C25" s="564" t="s">
        <v>35</v>
      </c>
      <c r="D25" s="567">
        <v>5421.97</v>
      </c>
      <c r="E25" s="564">
        <v>80.239999999999995</v>
      </c>
      <c r="F25" s="567">
        <v>4350.59</v>
      </c>
      <c r="G25" s="564">
        <v>9.92</v>
      </c>
      <c r="H25" s="564">
        <v>537.62</v>
      </c>
      <c r="I25" s="564" t="s">
        <v>493</v>
      </c>
      <c r="J25" s="564" t="s">
        <v>493</v>
      </c>
      <c r="K25" s="564" t="s">
        <v>493</v>
      </c>
      <c r="L25" s="564" t="s">
        <v>493</v>
      </c>
      <c r="M25" s="564" t="s">
        <v>493</v>
      </c>
      <c r="N25" s="564" t="s">
        <v>493</v>
      </c>
      <c r="O25" s="564">
        <v>0.05</v>
      </c>
      <c r="P25" s="564">
        <v>2.78</v>
      </c>
      <c r="Q25" s="564" t="s">
        <v>493</v>
      </c>
      <c r="R25" s="564" t="s">
        <v>493</v>
      </c>
      <c r="S25" s="564">
        <v>3.6</v>
      </c>
      <c r="T25" s="564">
        <v>195.17</v>
      </c>
      <c r="U25" s="564">
        <v>0.11</v>
      </c>
      <c r="V25" s="564">
        <v>5.8</v>
      </c>
      <c r="W25" s="564">
        <v>93.91</v>
      </c>
      <c r="X25" s="567">
        <v>5091.96</v>
      </c>
      <c r="Y25" s="567">
        <v>10513.93</v>
      </c>
      <c r="AB25" s="829"/>
      <c r="AC25" s="564" t="s">
        <v>607</v>
      </c>
      <c r="AD25" s="564" t="s">
        <v>617</v>
      </c>
      <c r="AE25" s="564" t="s">
        <v>622</v>
      </c>
      <c r="AF25" s="567">
        <v>3186.22</v>
      </c>
    </row>
    <row r="26" spans="1:32">
      <c r="A26" s="565" t="s">
        <v>516</v>
      </c>
      <c r="B26" s="564" t="s">
        <v>545</v>
      </c>
      <c r="C26" s="564" t="s">
        <v>35</v>
      </c>
      <c r="D26" s="567">
        <v>10542.78</v>
      </c>
      <c r="E26" s="564">
        <v>80.239999999999995</v>
      </c>
      <c r="F26" s="567">
        <v>8459.5300000000007</v>
      </c>
      <c r="G26" s="564">
        <v>5.0999999999999996</v>
      </c>
      <c r="H26" s="564">
        <v>537.62</v>
      </c>
      <c r="I26" s="564" t="s">
        <v>493</v>
      </c>
      <c r="J26" s="564" t="s">
        <v>493</v>
      </c>
      <c r="K26" s="564" t="s">
        <v>493</v>
      </c>
      <c r="L26" s="564" t="s">
        <v>493</v>
      </c>
      <c r="M26" s="564" t="s">
        <v>493</v>
      </c>
      <c r="N26" s="564" t="s">
        <v>493</v>
      </c>
      <c r="O26" s="564">
        <v>0.03</v>
      </c>
      <c r="P26" s="564">
        <v>2.78</v>
      </c>
      <c r="Q26" s="564" t="s">
        <v>493</v>
      </c>
      <c r="R26" s="564" t="s">
        <v>493</v>
      </c>
      <c r="S26" s="564">
        <v>1.85</v>
      </c>
      <c r="T26" s="564">
        <v>195.17</v>
      </c>
      <c r="U26" s="564">
        <v>0.06</v>
      </c>
      <c r="V26" s="564">
        <v>5.8</v>
      </c>
      <c r="W26" s="564">
        <v>87.27</v>
      </c>
      <c r="X26" s="567">
        <v>9200.9</v>
      </c>
      <c r="Y26" s="567">
        <v>19743.68</v>
      </c>
      <c r="AB26" s="829"/>
      <c r="AC26" s="564" t="s">
        <v>608</v>
      </c>
      <c r="AD26" s="564" t="s">
        <v>618</v>
      </c>
      <c r="AE26" s="564" t="s">
        <v>622</v>
      </c>
      <c r="AF26" s="567">
        <v>2658.97</v>
      </c>
    </row>
    <row r="27" spans="1:32">
      <c r="A27" s="565" t="s">
        <v>517</v>
      </c>
      <c r="B27" s="564" t="s">
        <v>546</v>
      </c>
      <c r="C27" s="564" t="s">
        <v>35</v>
      </c>
      <c r="D27" s="567">
        <v>15919.16</v>
      </c>
      <c r="E27" s="564">
        <v>80.069999999999993</v>
      </c>
      <c r="F27" s="567">
        <v>12746.47</v>
      </c>
      <c r="G27" s="564">
        <v>3.38</v>
      </c>
      <c r="H27" s="564">
        <v>537.62</v>
      </c>
      <c r="I27" s="564">
        <v>0.1</v>
      </c>
      <c r="J27" s="564">
        <v>15.61</v>
      </c>
      <c r="K27" s="564" t="s">
        <v>493</v>
      </c>
      <c r="L27" s="564" t="s">
        <v>493</v>
      </c>
      <c r="M27" s="564" t="s">
        <v>493</v>
      </c>
      <c r="N27" s="564" t="s">
        <v>493</v>
      </c>
      <c r="O27" s="564">
        <v>0.02</v>
      </c>
      <c r="P27" s="564">
        <v>2.6</v>
      </c>
      <c r="Q27" s="564" t="s">
        <v>493</v>
      </c>
      <c r="R27" s="564" t="s">
        <v>493</v>
      </c>
      <c r="S27" s="564">
        <v>1.23</v>
      </c>
      <c r="T27" s="564">
        <v>195.17</v>
      </c>
      <c r="U27" s="564">
        <v>0.04</v>
      </c>
      <c r="V27" s="564">
        <v>5.8</v>
      </c>
      <c r="W27" s="564">
        <v>84.82</v>
      </c>
      <c r="X27" s="567">
        <v>13503.28</v>
      </c>
      <c r="Y27" s="567">
        <v>29422.44</v>
      </c>
      <c r="AB27" s="829"/>
      <c r="AC27" s="564" t="s">
        <v>609</v>
      </c>
      <c r="AD27" s="564" t="s">
        <v>619</v>
      </c>
      <c r="AE27" s="564" t="s">
        <v>622</v>
      </c>
      <c r="AF27" s="567">
        <v>1970.46</v>
      </c>
    </row>
    <row r="28" spans="1:32" ht="12.75" customHeight="1">
      <c r="A28" s="565" t="s">
        <v>518</v>
      </c>
      <c r="B28" s="564" t="s">
        <v>547</v>
      </c>
      <c r="C28" s="564" t="s">
        <v>35</v>
      </c>
      <c r="D28" s="567">
        <v>4780.17</v>
      </c>
      <c r="E28" s="564">
        <v>80</v>
      </c>
      <c r="F28" s="567">
        <v>3824.13</v>
      </c>
      <c r="G28" s="564">
        <v>11.25</v>
      </c>
      <c r="H28" s="564">
        <v>537.62</v>
      </c>
      <c r="I28" s="564" t="s">
        <v>493</v>
      </c>
      <c r="J28" s="564" t="s">
        <v>493</v>
      </c>
      <c r="K28" s="564" t="s">
        <v>493</v>
      </c>
      <c r="L28" s="564" t="s">
        <v>493</v>
      </c>
      <c r="M28" s="564" t="s">
        <v>493</v>
      </c>
      <c r="N28" s="564" t="s">
        <v>493</v>
      </c>
      <c r="O28" s="564">
        <v>0.06</v>
      </c>
      <c r="P28" s="564">
        <v>2.81</v>
      </c>
      <c r="Q28" s="564" t="s">
        <v>493</v>
      </c>
      <c r="R28" s="564" t="s">
        <v>493</v>
      </c>
      <c r="S28" s="564">
        <v>4.08</v>
      </c>
      <c r="T28" s="564">
        <v>195.17</v>
      </c>
      <c r="U28" s="564">
        <v>0.12</v>
      </c>
      <c r="V28" s="564">
        <v>5.8</v>
      </c>
      <c r="W28" s="564">
        <v>95.51</v>
      </c>
      <c r="X28" s="567">
        <v>4565.54</v>
      </c>
      <c r="Y28" s="567">
        <v>9345.7099999999991</v>
      </c>
      <c r="AB28" s="829" t="s">
        <v>624</v>
      </c>
      <c r="AC28" s="564" t="s">
        <v>610</v>
      </c>
      <c r="AD28" s="564" t="s">
        <v>614</v>
      </c>
      <c r="AE28" s="564" t="s">
        <v>621</v>
      </c>
      <c r="AF28" s="564">
        <v>152.78</v>
      </c>
    </row>
    <row r="29" spans="1:32">
      <c r="A29" s="565" t="s">
        <v>519</v>
      </c>
      <c r="B29" s="564" t="s">
        <v>548</v>
      </c>
      <c r="C29" s="564" t="s">
        <v>35</v>
      </c>
      <c r="D29" s="567">
        <v>6373.56</v>
      </c>
      <c r="E29" s="564">
        <v>80</v>
      </c>
      <c r="F29" s="567">
        <v>5098.8500000000004</v>
      </c>
      <c r="G29" s="564">
        <v>8.44</v>
      </c>
      <c r="H29" s="564">
        <v>537.62</v>
      </c>
      <c r="I29" s="564" t="s">
        <v>493</v>
      </c>
      <c r="J29" s="564" t="s">
        <v>493</v>
      </c>
      <c r="K29" s="564" t="s">
        <v>493</v>
      </c>
      <c r="L29" s="564" t="s">
        <v>493</v>
      </c>
      <c r="M29" s="564" t="s">
        <v>493</v>
      </c>
      <c r="N29" s="564" t="s">
        <v>493</v>
      </c>
      <c r="O29" s="564">
        <v>0.04</v>
      </c>
      <c r="P29" s="564">
        <v>2.81</v>
      </c>
      <c r="Q29" s="564" t="s">
        <v>493</v>
      </c>
      <c r="R29" s="564" t="s">
        <v>493</v>
      </c>
      <c r="S29" s="564">
        <v>3.06</v>
      </c>
      <c r="T29" s="564">
        <v>195.17</v>
      </c>
      <c r="U29" s="564">
        <v>0.09</v>
      </c>
      <c r="V29" s="564">
        <v>5.8</v>
      </c>
      <c r="W29" s="564">
        <v>91.63</v>
      </c>
      <c r="X29" s="567">
        <v>5840.25</v>
      </c>
      <c r="Y29" s="567">
        <v>12213.81</v>
      </c>
      <c r="AB29" s="829"/>
      <c r="AC29" s="564" t="s">
        <v>611</v>
      </c>
      <c r="AD29" s="564" t="s">
        <v>615</v>
      </c>
      <c r="AE29" s="564" t="s">
        <v>621</v>
      </c>
      <c r="AF29" s="564">
        <v>201</v>
      </c>
    </row>
    <row r="30" spans="1:32">
      <c r="A30" s="565" t="s">
        <v>520</v>
      </c>
      <c r="B30" s="564" t="s">
        <v>549</v>
      </c>
      <c r="C30" s="564" t="s">
        <v>35</v>
      </c>
      <c r="D30" s="567">
        <v>11465.65</v>
      </c>
      <c r="E30" s="564">
        <v>80</v>
      </c>
      <c r="F30" s="567">
        <v>9172.52</v>
      </c>
      <c r="G30" s="564">
        <v>4.6900000000000004</v>
      </c>
      <c r="H30" s="564">
        <v>537.62</v>
      </c>
      <c r="I30" s="564" t="s">
        <v>493</v>
      </c>
      <c r="J30" s="564" t="s">
        <v>493</v>
      </c>
      <c r="K30" s="564" t="s">
        <v>493</v>
      </c>
      <c r="L30" s="564" t="s">
        <v>493</v>
      </c>
      <c r="M30" s="564" t="s">
        <v>493</v>
      </c>
      <c r="N30" s="564" t="s">
        <v>493</v>
      </c>
      <c r="O30" s="564">
        <v>0.02</v>
      </c>
      <c r="P30" s="564">
        <v>2.81</v>
      </c>
      <c r="Q30" s="564" t="s">
        <v>493</v>
      </c>
      <c r="R30" s="564" t="s">
        <v>493</v>
      </c>
      <c r="S30" s="564">
        <v>1.7</v>
      </c>
      <c r="T30" s="564">
        <v>195.17</v>
      </c>
      <c r="U30" s="564">
        <v>0.05</v>
      </c>
      <c r="V30" s="564">
        <v>5.8</v>
      </c>
      <c r="W30" s="564">
        <v>86.47</v>
      </c>
      <c r="X30" s="567">
        <v>9913.92</v>
      </c>
      <c r="Y30" s="567">
        <v>21379.57</v>
      </c>
    </row>
    <row r="31" spans="1:32">
      <c r="A31" s="565" t="s">
        <v>521</v>
      </c>
      <c r="B31" s="564" t="s">
        <v>550</v>
      </c>
      <c r="C31" s="564" t="s">
        <v>35</v>
      </c>
      <c r="D31" s="567">
        <v>8882.5</v>
      </c>
      <c r="E31" s="564">
        <v>79.95</v>
      </c>
      <c r="F31" s="567">
        <v>7101.56</v>
      </c>
      <c r="G31" s="564">
        <v>6.05</v>
      </c>
      <c r="H31" s="564">
        <v>537.62</v>
      </c>
      <c r="I31" s="564">
        <v>0.19</v>
      </c>
      <c r="J31" s="564">
        <v>17.09</v>
      </c>
      <c r="K31" s="564" t="s">
        <v>493</v>
      </c>
      <c r="L31" s="564" t="s">
        <v>493</v>
      </c>
      <c r="M31" s="564" t="s">
        <v>493</v>
      </c>
      <c r="N31" s="564" t="s">
        <v>493</v>
      </c>
      <c r="O31" s="564">
        <v>0.03</v>
      </c>
      <c r="P31" s="564">
        <v>2.39</v>
      </c>
      <c r="Q31" s="564" t="s">
        <v>493</v>
      </c>
      <c r="R31" s="564" t="s">
        <v>493</v>
      </c>
      <c r="S31" s="564">
        <v>2.2000000000000002</v>
      </c>
      <c r="T31" s="564">
        <v>195.17</v>
      </c>
      <c r="U31" s="564">
        <v>7.0000000000000007E-2</v>
      </c>
      <c r="V31" s="564">
        <v>5.8</v>
      </c>
      <c r="W31" s="564">
        <v>88.48</v>
      </c>
      <c r="X31" s="567">
        <v>7859.63</v>
      </c>
      <c r="Y31" s="567">
        <v>16742.13</v>
      </c>
    </row>
    <row r="32" spans="1:32">
      <c r="A32" s="565" t="s">
        <v>522</v>
      </c>
      <c r="B32" s="564" t="s">
        <v>551</v>
      </c>
      <c r="C32" s="564" t="s">
        <v>35</v>
      </c>
      <c r="D32" s="567">
        <v>9288.81</v>
      </c>
      <c r="E32" s="564">
        <v>79.95</v>
      </c>
      <c r="F32" s="567">
        <v>7426.4</v>
      </c>
      <c r="G32" s="564">
        <v>5.79</v>
      </c>
      <c r="H32" s="564">
        <v>537.62</v>
      </c>
      <c r="I32" s="564">
        <v>0.18</v>
      </c>
      <c r="J32" s="564">
        <v>17.09</v>
      </c>
      <c r="K32" s="564" t="s">
        <v>493</v>
      </c>
      <c r="L32" s="564" t="s">
        <v>493</v>
      </c>
      <c r="M32" s="564" t="s">
        <v>493</v>
      </c>
      <c r="N32" s="564" t="s">
        <v>493</v>
      </c>
      <c r="O32" s="564">
        <v>0.03</v>
      </c>
      <c r="P32" s="564">
        <v>2.39</v>
      </c>
      <c r="Q32" s="564" t="s">
        <v>493</v>
      </c>
      <c r="R32" s="564" t="s">
        <v>493</v>
      </c>
      <c r="S32" s="564">
        <v>2.1</v>
      </c>
      <c r="T32" s="564">
        <v>195.17</v>
      </c>
      <c r="U32" s="564">
        <v>0.06</v>
      </c>
      <c r="V32" s="564">
        <v>5.8</v>
      </c>
      <c r="W32" s="564">
        <v>88.11</v>
      </c>
      <c r="X32" s="567">
        <v>8184.48</v>
      </c>
      <c r="Y32" s="567">
        <v>17473.29</v>
      </c>
    </row>
    <row r="33" spans="1:33" ht="12.75" customHeight="1">
      <c r="A33" s="565" t="s">
        <v>428</v>
      </c>
      <c r="B33" s="564" t="s">
        <v>460</v>
      </c>
      <c r="C33" s="564" t="s">
        <v>35</v>
      </c>
      <c r="D33" s="567">
        <v>10975.39</v>
      </c>
      <c r="E33" s="564">
        <v>79.95</v>
      </c>
      <c r="F33" s="567">
        <v>8774.82</v>
      </c>
      <c r="G33" s="564">
        <v>4.9000000000000004</v>
      </c>
      <c r="H33" s="564">
        <v>537.62</v>
      </c>
      <c r="I33" s="564">
        <v>0.16</v>
      </c>
      <c r="J33" s="564">
        <v>17.09</v>
      </c>
      <c r="K33" s="564" t="s">
        <v>493</v>
      </c>
      <c r="L33" s="564" t="s">
        <v>493</v>
      </c>
      <c r="M33" s="564" t="s">
        <v>493</v>
      </c>
      <c r="N33" s="564" t="s">
        <v>493</v>
      </c>
      <c r="O33" s="564">
        <v>0.02</v>
      </c>
      <c r="P33" s="564">
        <v>2.39</v>
      </c>
      <c r="Q33" s="564" t="s">
        <v>493</v>
      </c>
      <c r="R33" s="564" t="s">
        <v>493</v>
      </c>
      <c r="S33" s="564">
        <v>1.78</v>
      </c>
      <c r="T33" s="564">
        <v>195.17</v>
      </c>
      <c r="U33" s="564">
        <v>0.05</v>
      </c>
      <c r="V33" s="564">
        <v>5.8</v>
      </c>
      <c r="W33" s="564">
        <v>86.86</v>
      </c>
      <c r="X33" s="567">
        <v>9532.9</v>
      </c>
      <c r="Y33" s="567">
        <v>20508.29</v>
      </c>
      <c r="AC33" s="836" t="s">
        <v>625</v>
      </c>
      <c r="AD33" s="836" t="s">
        <v>626</v>
      </c>
      <c r="AE33" s="836" t="s">
        <v>627</v>
      </c>
      <c r="AF33" s="836" t="s">
        <v>628</v>
      </c>
      <c r="AG33" s="836" t="s">
        <v>629</v>
      </c>
    </row>
    <row r="34" spans="1:33">
      <c r="A34" s="565" t="s">
        <v>429</v>
      </c>
      <c r="B34" s="564" t="s">
        <v>461</v>
      </c>
      <c r="C34" s="564" t="s">
        <v>35</v>
      </c>
      <c r="D34" s="567">
        <v>8882.5</v>
      </c>
      <c r="E34" s="564">
        <v>79.72</v>
      </c>
      <c r="F34" s="567">
        <v>7081.13</v>
      </c>
      <c r="G34" s="564">
        <v>6.05</v>
      </c>
      <c r="H34" s="564">
        <v>537.62</v>
      </c>
      <c r="I34" s="564">
        <v>0.19</v>
      </c>
      <c r="J34" s="564">
        <v>17.09</v>
      </c>
      <c r="K34" s="564" t="s">
        <v>493</v>
      </c>
      <c r="L34" s="564" t="s">
        <v>493</v>
      </c>
      <c r="M34" s="564" t="s">
        <v>493</v>
      </c>
      <c r="N34" s="564" t="s">
        <v>493</v>
      </c>
      <c r="O34" s="564">
        <v>0.02</v>
      </c>
      <c r="P34" s="564">
        <v>2.02</v>
      </c>
      <c r="Q34" s="564" t="s">
        <v>493</v>
      </c>
      <c r="R34" s="564" t="s">
        <v>493</v>
      </c>
      <c r="S34" s="564">
        <v>2.2000000000000002</v>
      </c>
      <c r="T34" s="564">
        <v>195.17</v>
      </c>
      <c r="U34" s="564">
        <v>7.0000000000000007E-2</v>
      </c>
      <c r="V34" s="564">
        <v>5.8</v>
      </c>
      <c r="W34" s="564">
        <v>88.25</v>
      </c>
      <c r="X34" s="567">
        <v>7838.83</v>
      </c>
      <c r="Y34" s="567">
        <v>16721.330000000002</v>
      </c>
      <c r="AC34" s="836"/>
      <c r="AD34" s="836"/>
      <c r="AE34" s="836"/>
      <c r="AF34" s="836"/>
      <c r="AG34" s="836"/>
    </row>
    <row r="35" spans="1:33">
      <c r="A35" s="565" t="s">
        <v>430</v>
      </c>
      <c r="B35" s="564" t="s">
        <v>462</v>
      </c>
      <c r="C35" s="564" t="s">
        <v>35</v>
      </c>
      <c r="D35" s="567">
        <v>10139.73</v>
      </c>
      <c r="E35" s="564">
        <v>79.72</v>
      </c>
      <c r="F35" s="567">
        <v>8083.39</v>
      </c>
      <c r="G35" s="564">
        <v>5.3</v>
      </c>
      <c r="H35" s="564">
        <v>537.62</v>
      </c>
      <c r="I35" s="564">
        <v>0.17</v>
      </c>
      <c r="J35" s="564">
        <v>17.09</v>
      </c>
      <c r="K35" s="564" t="s">
        <v>493</v>
      </c>
      <c r="L35" s="564" t="s">
        <v>493</v>
      </c>
      <c r="M35" s="564" t="s">
        <v>493</v>
      </c>
      <c r="N35" s="564" t="s">
        <v>493</v>
      </c>
      <c r="O35" s="564">
        <v>0.02</v>
      </c>
      <c r="P35" s="564">
        <v>2.02</v>
      </c>
      <c r="Q35" s="564" t="s">
        <v>493</v>
      </c>
      <c r="R35" s="564" t="s">
        <v>493</v>
      </c>
      <c r="S35" s="564">
        <v>1.92</v>
      </c>
      <c r="T35" s="564">
        <v>195.17</v>
      </c>
      <c r="U35" s="564">
        <v>0.06</v>
      </c>
      <c r="V35" s="564">
        <v>5.8</v>
      </c>
      <c r="W35" s="564">
        <v>87.19</v>
      </c>
      <c r="X35" s="567">
        <v>8841.1</v>
      </c>
      <c r="Y35" s="567">
        <v>18980.830000000002</v>
      </c>
      <c r="AC35" s="837"/>
      <c r="AD35" s="837"/>
      <c r="AE35" s="837"/>
      <c r="AF35" s="837"/>
      <c r="AG35" s="836"/>
    </row>
    <row r="36" spans="1:33" ht="12.75" customHeight="1">
      <c r="A36" s="565" t="s">
        <v>431</v>
      </c>
      <c r="B36" s="564" t="s">
        <v>463</v>
      </c>
      <c r="C36" s="564" t="s">
        <v>35</v>
      </c>
      <c r="D36" s="567">
        <v>13415.83</v>
      </c>
      <c r="E36" s="564">
        <v>79.72</v>
      </c>
      <c r="F36" s="567">
        <v>10695.1</v>
      </c>
      <c r="G36" s="564">
        <v>4.01</v>
      </c>
      <c r="H36" s="564">
        <v>537.62</v>
      </c>
      <c r="I36" s="564">
        <v>0.13</v>
      </c>
      <c r="J36" s="564">
        <v>17.09</v>
      </c>
      <c r="K36" s="564" t="s">
        <v>493</v>
      </c>
      <c r="L36" s="564" t="s">
        <v>493</v>
      </c>
      <c r="M36" s="564" t="s">
        <v>493</v>
      </c>
      <c r="N36" s="564" t="s">
        <v>493</v>
      </c>
      <c r="O36" s="564">
        <v>0.02</v>
      </c>
      <c r="P36" s="564">
        <v>2.02</v>
      </c>
      <c r="Q36" s="564" t="s">
        <v>493</v>
      </c>
      <c r="R36" s="564" t="s">
        <v>493</v>
      </c>
      <c r="S36" s="564">
        <v>1.45</v>
      </c>
      <c r="T36" s="564">
        <v>195.17</v>
      </c>
      <c r="U36" s="564">
        <v>0.04</v>
      </c>
      <c r="V36" s="564">
        <v>5.8</v>
      </c>
      <c r="W36" s="564">
        <v>85.37</v>
      </c>
      <c r="X36" s="567">
        <v>11452.81</v>
      </c>
      <c r="Y36" s="567">
        <v>24868.63</v>
      </c>
      <c r="AC36" s="838" t="s">
        <v>630</v>
      </c>
      <c r="AD36" s="830">
        <v>224.2</v>
      </c>
      <c r="AE36" s="830">
        <v>212.4</v>
      </c>
      <c r="AF36" s="830">
        <v>200.6</v>
      </c>
      <c r="AG36" s="833">
        <v>177</v>
      </c>
    </row>
    <row r="37" spans="1:33">
      <c r="A37" s="565" t="s">
        <v>432</v>
      </c>
      <c r="B37" s="564" t="s">
        <v>464</v>
      </c>
      <c r="C37" s="564" t="s">
        <v>35</v>
      </c>
      <c r="D37" s="567">
        <v>8882.5</v>
      </c>
      <c r="E37" s="564">
        <v>80.180000000000007</v>
      </c>
      <c r="F37" s="567">
        <v>7121.99</v>
      </c>
      <c r="G37" s="564">
        <v>6.05</v>
      </c>
      <c r="H37" s="564">
        <v>537.62</v>
      </c>
      <c r="I37" s="564">
        <v>0.19</v>
      </c>
      <c r="J37" s="564">
        <v>17.09</v>
      </c>
      <c r="K37" s="564" t="s">
        <v>493</v>
      </c>
      <c r="L37" s="564" t="s">
        <v>493</v>
      </c>
      <c r="M37" s="564" t="s">
        <v>493</v>
      </c>
      <c r="N37" s="564" t="s">
        <v>493</v>
      </c>
      <c r="O37" s="564">
        <v>0.03</v>
      </c>
      <c r="P37" s="564">
        <v>2.76</v>
      </c>
      <c r="Q37" s="564" t="s">
        <v>493</v>
      </c>
      <c r="R37" s="564" t="s">
        <v>493</v>
      </c>
      <c r="S37" s="564">
        <v>2.2000000000000002</v>
      </c>
      <c r="T37" s="564">
        <v>195.17</v>
      </c>
      <c r="U37" s="564">
        <v>7.0000000000000007E-2</v>
      </c>
      <c r="V37" s="564">
        <v>5.8</v>
      </c>
      <c r="W37" s="564">
        <v>88.72</v>
      </c>
      <c r="X37" s="567">
        <v>7880.43</v>
      </c>
      <c r="Y37" s="567">
        <v>16762.93</v>
      </c>
      <c r="AC37" s="839"/>
      <c r="AD37" s="831"/>
      <c r="AE37" s="831"/>
      <c r="AF37" s="831"/>
      <c r="AG37" s="828"/>
    </row>
    <row r="38" spans="1:33">
      <c r="A38" s="565" t="s">
        <v>433</v>
      </c>
      <c r="B38" s="564" t="s">
        <v>465</v>
      </c>
      <c r="C38" s="564" t="s">
        <v>35</v>
      </c>
      <c r="D38" s="567">
        <v>9593.39</v>
      </c>
      <c r="E38" s="564">
        <v>80.180000000000007</v>
      </c>
      <c r="F38" s="567">
        <v>7691.98</v>
      </c>
      <c r="G38" s="564">
        <v>5.6</v>
      </c>
      <c r="H38" s="564">
        <v>537.62</v>
      </c>
      <c r="I38" s="564">
        <v>0.18</v>
      </c>
      <c r="J38" s="564">
        <v>17.09</v>
      </c>
      <c r="K38" s="564" t="s">
        <v>493</v>
      </c>
      <c r="L38" s="564" t="s">
        <v>493</v>
      </c>
      <c r="M38" s="564" t="s">
        <v>493</v>
      </c>
      <c r="N38" s="564" t="s">
        <v>493</v>
      </c>
      <c r="O38" s="564">
        <v>0.03</v>
      </c>
      <c r="P38" s="564">
        <v>2.76</v>
      </c>
      <c r="Q38" s="564" t="s">
        <v>493</v>
      </c>
      <c r="R38" s="564" t="s">
        <v>493</v>
      </c>
      <c r="S38" s="564">
        <v>2.0299999999999998</v>
      </c>
      <c r="T38" s="564">
        <v>195.17</v>
      </c>
      <c r="U38" s="564">
        <v>0.06</v>
      </c>
      <c r="V38" s="564">
        <v>5.8</v>
      </c>
      <c r="W38" s="564">
        <v>88.09</v>
      </c>
      <c r="X38" s="567">
        <v>8450.42</v>
      </c>
      <c r="Y38" s="567">
        <v>18043.810000000001</v>
      </c>
      <c r="AC38" s="839"/>
      <c r="AD38" s="831"/>
      <c r="AE38" s="831"/>
      <c r="AF38" s="831"/>
      <c r="AG38" s="828"/>
    </row>
    <row r="39" spans="1:33">
      <c r="A39" s="565" t="s">
        <v>434</v>
      </c>
      <c r="B39" s="564" t="s">
        <v>466</v>
      </c>
      <c r="C39" s="564" t="s">
        <v>35</v>
      </c>
      <c r="D39" s="567">
        <v>11827.32</v>
      </c>
      <c r="E39" s="564">
        <v>80.180000000000007</v>
      </c>
      <c r="F39" s="567">
        <v>9483.15</v>
      </c>
      <c r="G39" s="564">
        <v>4.55</v>
      </c>
      <c r="H39" s="564">
        <v>537.62</v>
      </c>
      <c r="I39" s="564">
        <v>0.14000000000000001</v>
      </c>
      <c r="J39" s="564">
        <v>17.09</v>
      </c>
      <c r="K39" s="564" t="s">
        <v>493</v>
      </c>
      <c r="L39" s="564" t="s">
        <v>493</v>
      </c>
      <c r="M39" s="564" t="s">
        <v>493</v>
      </c>
      <c r="N39" s="564" t="s">
        <v>493</v>
      </c>
      <c r="O39" s="564">
        <v>0.02</v>
      </c>
      <c r="P39" s="564">
        <v>2.76</v>
      </c>
      <c r="Q39" s="564" t="s">
        <v>493</v>
      </c>
      <c r="R39" s="564" t="s">
        <v>493</v>
      </c>
      <c r="S39" s="564">
        <v>1.65</v>
      </c>
      <c r="T39" s="564">
        <v>195.17</v>
      </c>
      <c r="U39" s="564">
        <v>0.05</v>
      </c>
      <c r="V39" s="564">
        <v>5.8</v>
      </c>
      <c r="W39" s="564">
        <v>86.59</v>
      </c>
      <c r="X39" s="567">
        <v>10241.59</v>
      </c>
      <c r="Y39" s="567">
        <v>22068.91</v>
      </c>
      <c r="AC39" s="839"/>
      <c r="AD39" s="831"/>
      <c r="AE39" s="831"/>
      <c r="AF39" s="831"/>
      <c r="AG39" s="828"/>
    </row>
    <row r="40" spans="1:33">
      <c r="A40" s="565" t="s">
        <v>435</v>
      </c>
      <c r="B40" s="564" t="s">
        <v>467</v>
      </c>
      <c r="C40" s="564" t="s">
        <v>35</v>
      </c>
      <c r="D40" s="567">
        <v>18561.82</v>
      </c>
      <c r="E40" s="564">
        <v>80.150000000000006</v>
      </c>
      <c r="F40" s="567">
        <v>14877.3</v>
      </c>
      <c r="G40" s="564">
        <v>2.9</v>
      </c>
      <c r="H40" s="564">
        <v>537.62</v>
      </c>
      <c r="I40" s="564">
        <v>0.08</v>
      </c>
      <c r="J40" s="564">
        <v>15.61</v>
      </c>
      <c r="K40" s="564" t="s">
        <v>493</v>
      </c>
      <c r="L40" s="564" t="s">
        <v>493</v>
      </c>
      <c r="M40" s="564" t="s">
        <v>493</v>
      </c>
      <c r="N40" s="564" t="s">
        <v>493</v>
      </c>
      <c r="O40" s="564">
        <v>0.02</v>
      </c>
      <c r="P40" s="564">
        <v>3.13</v>
      </c>
      <c r="Q40" s="564" t="s">
        <v>493</v>
      </c>
      <c r="R40" s="564" t="s">
        <v>493</v>
      </c>
      <c r="S40" s="564">
        <v>1.05</v>
      </c>
      <c r="T40" s="564">
        <v>195.17</v>
      </c>
      <c r="U40" s="564">
        <v>0.03</v>
      </c>
      <c r="V40" s="564">
        <v>5.8</v>
      </c>
      <c r="W40" s="564">
        <v>84.23</v>
      </c>
      <c r="X40" s="567">
        <v>15634.62</v>
      </c>
      <c r="Y40" s="567">
        <v>34196.44</v>
      </c>
      <c r="AC40" s="839"/>
      <c r="AD40" s="831"/>
      <c r="AE40" s="831"/>
      <c r="AF40" s="831"/>
      <c r="AG40" s="828"/>
    </row>
    <row r="41" spans="1:33">
      <c r="A41" s="565" t="s">
        <v>436</v>
      </c>
      <c r="B41" s="564" t="s">
        <v>468</v>
      </c>
      <c r="C41" s="564" t="s">
        <v>35</v>
      </c>
      <c r="D41" s="567">
        <v>15468.18</v>
      </c>
      <c r="E41" s="564">
        <v>80.150000000000006</v>
      </c>
      <c r="F41" s="567">
        <v>12397.75</v>
      </c>
      <c r="G41" s="564">
        <v>3.48</v>
      </c>
      <c r="H41" s="564">
        <v>537.62</v>
      </c>
      <c r="I41" s="564">
        <v>0.1</v>
      </c>
      <c r="J41" s="564">
        <v>15.61</v>
      </c>
      <c r="K41" s="564" t="s">
        <v>493</v>
      </c>
      <c r="L41" s="564" t="s">
        <v>493</v>
      </c>
      <c r="M41" s="564" t="s">
        <v>493</v>
      </c>
      <c r="N41" s="564" t="s">
        <v>493</v>
      </c>
      <c r="O41" s="564">
        <v>0.02</v>
      </c>
      <c r="P41" s="564">
        <v>3.13</v>
      </c>
      <c r="Q41" s="564" t="s">
        <v>493</v>
      </c>
      <c r="R41" s="564" t="s">
        <v>493</v>
      </c>
      <c r="S41" s="564">
        <v>1.26</v>
      </c>
      <c r="T41" s="564">
        <v>195.17</v>
      </c>
      <c r="U41" s="564">
        <v>0.04</v>
      </c>
      <c r="V41" s="564">
        <v>5.8</v>
      </c>
      <c r="W41" s="564">
        <v>85.05</v>
      </c>
      <c r="X41" s="567">
        <v>13155.07</v>
      </c>
      <c r="Y41" s="567">
        <v>28623.25</v>
      </c>
      <c r="AC41" s="839"/>
      <c r="AD41" s="831"/>
      <c r="AE41" s="831"/>
      <c r="AF41" s="831"/>
      <c r="AG41" s="828"/>
    </row>
    <row r="42" spans="1:33">
      <c r="A42" s="565" t="s">
        <v>437</v>
      </c>
      <c r="B42" s="564" t="s">
        <v>469</v>
      </c>
      <c r="C42" s="564" t="s">
        <v>35</v>
      </c>
      <c r="D42" s="567">
        <v>9127.76</v>
      </c>
      <c r="E42" s="564">
        <v>80.36</v>
      </c>
      <c r="F42" s="567">
        <v>7335.07</v>
      </c>
      <c r="G42" s="564">
        <v>5.89</v>
      </c>
      <c r="H42" s="564">
        <v>537.62</v>
      </c>
      <c r="I42" s="564">
        <v>0.19</v>
      </c>
      <c r="J42" s="564">
        <v>17.09</v>
      </c>
      <c r="K42" s="564" t="s">
        <v>493</v>
      </c>
      <c r="L42" s="564" t="s">
        <v>493</v>
      </c>
      <c r="M42" s="564" t="s">
        <v>493</v>
      </c>
      <c r="N42" s="564" t="s">
        <v>493</v>
      </c>
      <c r="O42" s="564">
        <v>0.03</v>
      </c>
      <c r="P42" s="564">
        <v>2.68</v>
      </c>
      <c r="Q42" s="564" t="s">
        <v>493</v>
      </c>
      <c r="R42" s="564" t="s">
        <v>493</v>
      </c>
      <c r="S42" s="564">
        <v>2.14</v>
      </c>
      <c r="T42" s="564">
        <v>195.17</v>
      </c>
      <c r="U42" s="564">
        <v>0.06</v>
      </c>
      <c r="V42" s="564">
        <v>5.8</v>
      </c>
      <c r="W42" s="564">
        <v>88.67</v>
      </c>
      <c r="X42" s="567">
        <v>8093.43</v>
      </c>
      <c r="Y42" s="567">
        <v>17221.18</v>
      </c>
      <c r="AC42" s="839"/>
      <c r="AD42" s="831"/>
      <c r="AE42" s="831"/>
      <c r="AF42" s="831"/>
      <c r="AG42" s="828"/>
    </row>
    <row r="43" spans="1:33">
      <c r="A43" s="565" t="s">
        <v>438</v>
      </c>
      <c r="B43" s="564" t="s">
        <v>470</v>
      </c>
      <c r="C43" s="564" t="s">
        <v>35</v>
      </c>
      <c r="D43" s="567">
        <v>10633.74</v>
      </c>
      <c r="E43" s="564">
        <v>80.36</v>
      </c>
      <c r="F43" s="567">
        <v>8545.2800000000007</v>
      </c>
      <c r="G43" s="564">
        <v>5.0599999999999996</v>
      </c>
      <c r="H43" s="564">
        <v>537.62</v>
      </c>
      <c r="I43" s="564">
        <v>0.16</v>
      </c>
      <c r="J43" s="564">
        <v>17.09</v>
      </c>
      <c r="K43" s="564" t="s">
        <v>493</v>
      </c>
      <c r="L43" s="564" t="s">
        <v>493</v>
      </c>
      <c r="M43" s="564" t="s">
        <v>493</v>
      </c>
      <c r="N43" s="564" t="s">
        <v>493</v>
      </c>
      <c r="O43" s="564">
        <v>0.03</v>
      </c>
      <c r="P43" s="564">
        <v>2.68</v>
      </c>
      <c r="Q43" s="564" t="s">
        <v>493</v>
      </c>
      <c r="R43" s="564" t="s">
        <v>493</v>
      </c>
      <c r="S43" s="564">
        <v>1.84</v>
      </c>
      <c r="T43" s="564">
        <v>195.17</v>
      </c>
      <c r="U43" s="564">
        <v>0.05</v>
      </c>
      <c r="V43" s="564">
        <v>5.8</v>
      </c>
      <c r="W43" s="564">
        <v>87.49</v>
      </c>
      <c r="X43" s="567">
        <v>9303.64</v>
      </c>
      <c r="Y43" s="567">
        <v>19937.38</v>
      </c>
      <c r="AC43" s="840"/>
      <c r="AD43" s="832"/>
      <c r="AE43" s="832"/>
      <c r="AF43" s="832"/>
      <c r="AG43" s="828"/>
    </row>
    <row r="44" spans="1:33">
      <c r="A44" s="565" t="s">
        <v>439</v>
      </c>
      <c r="B44" s="564" t="s">
        <v>471</v>
      </c>
      <c r="C44" s="564" t="s">
        <v>35</v>
      </c>
      <c r="D44" s="567">
        <v>15784.7</v>
      </c>
      <c r="E44" s="564">
        <v>80.36</v>
      </c>
      <c r="F44" s="567">
        <v>12684.59</v>
      </c>
      <c r="G44" s="564">
        <v>3.41</v>
      </c>
      <c r="H44" s="564">
        <v>537.62</v>
      </c>
      <c r="I44" s="564">
        <v>0.11</v>
      </c>
      <c r="J44" s="564">
        <v>17.09</v>
      </c>
      <c r="K44" s="564" t="s">
        <v>493</v>
      </c>
      <c r="L44" s="564" t="s">
        <v>493</v>
      </c>
      <c r="M44" s="564" t="s">
        <v>493</v>
      </c>
      <c r="N44" s="564" t="s">
        <v>493</v>
      </c>
      <c r="O44" s="564">
        <v>0.02</v>
      </c>
      <c r="P44" s="564">
        <v>2.68</v>
      </c>
      <c r="Q44" s="564" t="s">
        <v>493</v>
      </c>
      <c r="R44" s="564" t="s">
        <v>493</v>
      </c>
      <c r="S44" s="564">
        <v>1.24</v>
      </c>
      <c r="T44" s="564">
        <v>195.17</v>
      </c>
      <c r="U44" s="564">
        <v>0.04</v>
      </c>
      <c r="V44" s="564">
        <v>5.8</v>
      </c>
      <c r="W44" s="564">
        <v>85.16</v>
      </c>
      <c r="X44" s="567">
        <v>13442.95</v>
      </c>
      <c r="Y44" s="567">
        <v>29227.65</v>
      </c>
    </row>
    <row r="45" spans="1:33">
      <c r="A45" s="565" t="s">
        <v>440</v>
      </c>
      <c r="B45" s="564" t="s">
        <v>472</v>
      </c>
      <c r="C45" s="564" t="s">
        <v>35</v>
      </c>
      <c r="D45" s="567">
        <v>8882.5</v>
      </c>
      <c r="E45" s="564">
        <v>80.150000000000006</v>
      </c>
      <c r="F45" s="567">
        <v>7119.32</v>
      </c>
      <c r="G45" s="564">
        <v>6.05</v>
      </c>
      <c r="H45" s="564">
        <v>537.62</v>
      </c>
      <c r="I45" s="564">
        <v>0.19</v>
      </c>
      <c r="J45" s="564">
        <v>17.09</v>
      </c>
      <c r="K45" s="564" t="s">
        <v>493</v>
      </c>
      <c r="L45" s="564" t="s">
        <v>493</v>
      </c>
      <c r="M45" s="564" t="s">
        <v>493</v>
      </c>
      <c r="N45" s="564" t="s">
        <v>493</v>
      </c>
      <c r="O45" s="564">
        <v>0.04</v>
      </c>
      <c r="P45" s="564">
        <v>3.13</v>
      </c>
      <c r="Q45" s="564" t="s">
        <v>493</v>
      </c>
      <c r="R45" s="564" t="s">
        <v>493</v>
      </c>
      <c r="S45" s="564">
        <v>2.2000000000000002</v>
      </c>
      <c r="T45" s="564">
        <v>195.17</v>
      </c>
      <c r="U45" s="564">
        <v>7.0000000000000007E-2</v>
      </c>
      <c r="V45" s="564">
        <v>5.8</v>
      </c>
      <c r="W45" s="564">
        <v>88.69</v>
      </c>
      <c r="X45" s="567">
        <v>7878.13</v>
      </c>
      <c r="Y45" s="567">
        <v>16760.63</v>
      </c>
    </row>
    <row r="46" spans="1:33">
      <c r="A46" s="565" t="s">
        <v>441</v>
      </c>
      <c r="B46" s="564" t="s">
        <v>473</v>
      </c>
      <c r="C46" s="564" t="s">
        <v>35</v>
      </c>
      <c r="D46" s="567">
        <v>10124.530000000001</v>
      </c>
      <c r="E46" s="564">
        <v>80.150000000000006</v>
      </c>
      <c r="F46" s="567">
        <v>8114.81</v>
      </c>
      <c r="G46" s="564">
        <v>5.31</v>
      </c>
      <c r="H46" s="564">
        <v>537.62</v>
      </c>
      <c r="I46" s="564">
        <v>0.17</v>
      </c>
      <c r="J46" s="564">
        <v>17.09</v>
      </c>
      <c r="K46" s="564" t="s">
        <v>493</v>
      </c>
      <c r="L46" s="564" t="s">
        <v>493</v>
      </c>
      <c r="M46" s="564" t="s">
        <v>493</v>
      </c>
      <c r="N46" s="564" t="s">
        <v>493</v>
      </c>
      <c r="O46" s="564">
        <v>0.03</v>
      </c>
      <c r="P46" s="564">
        <v>3.13</v>
      </c>
      <c r="Q46" s="564" t="s">
        <v>493</v>
      </c>
      <c r="R46" s="564" t="s">
        <v>493</v>
      </c>
      <c r="S46" s="564">
        <v>1.93</v>
      </c>
      <c r="T46" s="564">
        <v>195.17</v>
      </c>
      <c r="U46" s="564">
        <v>0.06</v>
      </c>
      <c r="V46" s="564">
        <v>5.8</v>
      </c>
      <c r="W46" s="564">
        <v>87.64</v>
      </c>
      <c r="X46" s="567">
        <v>8873.6200000000008</v>
      </c>
      <c r="Y46" s="567">
        <v>18998.16</v>
      </c>
    </row>
    <row r="47" spans="1:33">
      <c r="A47" s="565" t="s">
        <v>442</v>
      </c>
      <c r="B47" s="564" t="s">
        <v>474</v>
      </c>
      <c r="C47" s="564" t="s">
        <v>35</v>
      </c>
      <c r="D47" s="567">
        <v>13185.61</v>
      </c>
      <c r="E47" s="564">
        <v>80.150000000000006</v>
      </c>
      <c r="F47" s="567">
        <v>10568.27</v>
      </c>
      <c r="G47" s="564">
        <v>4.08</v>
      </c>
      <c r="H47" s="564">
        <v>537.62</v>
      </c>
      <c r="I47" s="564">
        <v>0.13</v>
      </c>
      <c r="J47" s="564">
        <v>17.09</v>
      </c>
      <c r="K47" s="564" t="s">
        <v>493</v>
      </c>
      <c r="L47" s="564" t="s">
        <v>493</v>
      </c>
      <c r="M47" s="564" t="s">
        <v>493</v>
      </c>
      <c r="N47" s="564" t="s">
        <v>493</v>
      </c>
      <c r="O47" s="564">
        <v>0.02</v>
      </c>
      <c r="P47" s="564">
        <v>3.13</v>
      </c>
      <c r="Q47" s="564" t="s">
        <v>493</v>
      </c>
      <c r="R47" s="564" t="s">
        <v>493</v>
      </c>
      <c r="S47" s="564">
        <v>1.48</v>
      </c>
      <c r="T47" s="564">
        <v>195.17</v>
      </c>
      <c r="U47" s="564">
        <v>0.04</v>
      </c>
      <c r="V47" s="564">
        <v>5.8</v>
      </c>
      <c r="W47" s="564">
        <v>85.9</v>
      </c>
      <c r="X47" s="567">
        <v>11327.08</v>
      </c>
      <c r="Y47" s="567">
        <v>24512.69</v>
      </c>
    </row>
    <row r="48" spans="1:33">
      <c r="A48" s="565" t="s">
        <v>443</v>
      </c>
      <c r="B48" s="564" t="s">
        <v>475</v>
      </c>
      <c r="C48" s="564" t="s">
        <v>35</v>
      </c>
      <c r="D48" s="567">
        <v>9127.76</v>
      </c>
      <c r="E48" s="564">
        <v>80.36</v>
      </c>
      <c r="F48" s="567">
        <v>7335.07</v>
      </c>
      <c r="G48" s="564">
        <v>5.89</v>
      </c>
      <c r="H48" s="564">
        <v>537.62</v>
      </c>
      <c r="I48" s="564">
        <v>0.19</v>
      </c>
      <c r="J48" s="564">
        <v>17.09</v>
      </c>
      <c r="K48" s="564" t="s">
        <v>493</v>
      </c>
      <c r="L48" s="564" t="s">
        <v>493</v>
      </c>
      <c r="M48" s="564" t="s">
        <v>493</v>
      </c>
      <c r="N48" s="564" t="s">
        <v>493</v>
      </c>
      <c r="O48" s="564">
        <v>0.03</v>
      </c>
      <c r="P48" s="564">
        <v>2.68</v>
      </c>
      <c r="Q48" s="564" t="s">
        <v>493</v>
      </c>
      <c r="R48" s="564" t="s">
        <v>493</v>
      </c>
      <c r="S48" s="564">
        <v>2.14</v>
      </c>
      <c r="T48" s="564">
        <v>195.17</v>
      </c>
      <c r="U48" s="564">
        <v>0.06</v>
      </c>
      <c r="V48" s="564">
        <v>5.8</v>
      </c>
      <c r="W48" s="564">
        <v>88.67</v>
      </c>
      <c r="X48" s="567">
        <v>8093.43</v>
      </c>
      <c r="Y48" s="567">
        <v>17221.18</v>
      </c>
    </row>
    <row r="49" spans="1:25">
      <c r="A49" s="565" t="s">
        <v>444</v>
      </c>
      <c r="B49" s="564" t="s">
        <v>476</v>
      </c>
      <c r="C49" s="564" t="s">
        <v>35</v>
      </c>
      <c r="D49" s="567">
        <v>10633.74</v>
      </c>
      <c r="E49" s="564">
        <v>80.36</v>
      </c>
      <c r="F49" s="567">
        <v>8545.2800000000007</v>
      </c>
      <c r="G49" s="564">
        <v>5.0599999999999996</v>
      </c>
      <c r="H49" s="564">
        <v>537.62</v>
      </c>
      <c r="I49" s="564">
        <v>0.16</v>
      </c>
      <c r="J49" s="564">
        <v>17.09</v>
      </c>
      <c r="K49" s="564" t="s">
        <v>493</v>
      </c>
      <c r="L49" s="564" t="s">
        <v>493</v>
      </c>
      <c r="M49" s="564" t="s">
        <v>493</v>
      </c>
      <c r="N49" s="564" t="s">
        <v>493</v>
      </c>
      <c r="O49" s="564">
        <v>0.03</v>
      </c>
      <c r="P49" s="564">
        <v>2.68</v>
      </c>
      <c r="Q49" s="564" t="s">
        <v>493</v>
      </c>
      <c r="R49" s="564" t="s">
        <v>493</v>
      </c>
      <c r="S49" s="564">
        <v>1.84</v>
      </c>
      <c r="T49" s="564">
        <v>195.17</v>
      </c>
      <c r="U49" s="564">
        <v>0.05</v>
      </c>
      <c r="V49" s="564">
        <v>5.8</v>
      </c>
      <c r="W49" s="564">
        <v>87.49</v>
      </c>
      <c r="X49" s="567">
        <v>9303.64</v>
      </c>
      <c r="Y49" s="567">
        <v>19937.38</v>
      </c>
    </row>
    <row r="50" spans="1:25">
      <c r="A50" s="565" t="s">
        <v>445</v>
      </c>
      <c r="B50" s="564" t="s">
        <v>477</v>
      </c>
      <c r="C50" s="564" t="s">
        <v>35</v>
      </c>
      <c r="D50" s="567">
        <v>15784.7</v>
      </c>
      <c r="E50" s="564">
        <v>80.36</v>
      </c>
      <c r="F50" s="567">
        <v>12684.59</v>
      </c>
      <c r="G50" s="564">
        <v>3.41</v>
      </c>
      <c r="H50" s="564">
        <v>537.62</v>
      </c>
      <c r="I50" s="564">
        <v>0.11</v>
      </c>
      <c r="J50" s="564">
        <v>17.09</v>
      </c>
      <c r="K50" s="564" t="s">
        <v>493</v>
      </c>
      <c r="L50" s="564" t="s">
        <v>493</v>
      </c>
      <c r="M50" s="564" t="s">
        <v>493</v>
      </c>
      <c r="N50" s="564" t="s">
        <v>493</v>
      </c>
      <c r="O50" s="564">
        <v>0.02</v>
      </c>
      <c r="P50" s="564">
        <v>2.68</v>
      </c>
      <c r="Q50" s="564" t="s">
        <v>493</v>
      </c>
      <c r="R50" s="564" t="s">
        <v>493</v>
      </c>
      <c r="S50" s="564">
        <v>1.24</v>
      </c>
      <c r="T50" s="564">
        <v>195.17</v>
      </c>
      <c r="U50" s="564">
        <v>0.04</v>
      </c>
      <c r="V50" s="564">
        <v>5.8</v>
      </c>
      <c r="W50" s="564">
        <v>85.16</v>
      </c>
      <c r="X50" s="567">
        <v>13442.95</v>
      </c>
      <c r="Y50" s="567">
        <v>29227.65</v>
      </c>
    </row>
    <row r="51" spans="1:25">
      <c r="A51" s="565" t="s">
        <v>446</v>
      </c>
      <c r="B51" s="564" t="s">
        <v>478</v>
      </c>
      <c r="C51" s="564" t="s">
        <v>35</v>
      </c>
      <c r="D51" s="567">
        <v>8882.5</v>
      </c>
      <c r="E51" s="564">
        <v>79.56</v>
      </c>
      <c r="F51" s="567">
        <v>7066.92</v>
      </c>
      <c r="G51" s="564">
        <v>6.05</v>
      </c>
      <c r="H51" s="564">
        <v>537.62</v>
      </c>
      <c r="I51" s="564">
        <v>0.19</v>
      </c>
      <c r="J51" s="564">
        <v>17.09</v>
      </c>
      <c r="K51" s="564" t="s">
        <v>493</v>
      </c>
      <c r="L51" s="564" t="s">
        <v>493</v>
      </c>
      <c r="M51" s="564" t="s">
        <v>493</v>
      </c>
      <c r="N51" s="564" t="s">
        <v>493</v>
      </c>
      <c r="O51" s="564">
        <v>0.04</v>
      </c>
      <c r="P51" s="564">
        <v>3.18</v>
      </c>
      <c r="Q51" s="564" t="s">
        <v>493</v>
      </c>
      <c r="R51" s="564" t="s">
        <v>493</v>
      </c>
      <c r="S51" s="564">
        <v>2.2000000000000002</v>
      </c>
      <c r="T51" s="564">
        <v>195.17</v>
      </c>
      <c r="U51" s="564">
        <v>7.0000000000000007E-2</v>
      </c>
      <c r="V51" s="564">
        <v>5.8</v>
      </c>
      <c r="W51" s="564">
        <v>88.1</v>
      </c>
      <c r="X51" s="567">
        <v>7825.78</v>
      </c>
      <c r="Y51" s="567">
        <v>16708.28</v>
      </c>
    </row>
    <row r="52" spans="1:25">
      <c r="A52" s="565" t="s">
        <v>447</v>
      </c>
      <c r="B52" s="564" t="s">
        <v>479</v>
      </c>
      <c r="C52" s="564" t="s">
        <v>35</v>
      </c>
      <c r="D52" s="567">
        <v>10386.39</v>
      </c>
      <c r="E52" s="564">
        <v>79.56</v>
      </c>
      <c r="F52" s="567">
        <v>8263.41</v>
      </c>
      <c r="G52" s="564">
        <v>5.18</v>
      </c>
      <c r="H52" s="564">
        <v>537.62</v>
      </c>
      <c r="I52" s="564">
        <v>0.16</v>
      </c>
      <c r="J52" s="564">
        <v>17.09</v>
      </c>
      <c r="K52" s="564" t="s">
        <v>493</v>
      </c>
      <c r="L52" s="564" t="s">
        <v>493</v>
      </c>
      <c r="M52" s="564" t="s">
        <v>493</v>
      </c>
      <c r="N52" s="564" t="s">
        <v>493</v>
      </c>
      <c r="O52" s="564">
        <v>0.03</v>
      </c>
      <c r="P52" s="564">
        <v>3.18</v>
      </c>
      <c r="Q52" s="564" t="s">
        <v>493</v>
      </c>
      <c r="R52" s="564" t="s">
        <v>493</v>
      </c>
      <c r="S52" s="564">
        <v>1.88</v>
      </c>
      <c r="T52" s="564">
        <v>195.17</v>
      </c>
      <c r="U52" s="564">
        <v>0.06</v>
      </c>
      <c r="V52" s="564">
        <v>5.8</v>
      </c>
      <c r="W52" s="564">
        <v>86.87</v>
      </c>
      <c r="X52" s="567">
        <v>9022.2800000000007</v>
      </c>
      <c r="Y52" s="567">
        <v>19408.66</v>
      </c>
    </row>
    <row r="53" spans="1:25">
      <c r="A53" s="565" t="s">
        <v>448</v>
      </c>
      <c r="B53" s="564" t="s">
        <v>480</v>
      </c>
      <c r="C53" s="564" t="s">
        <v>35</v>
      </c>
      <c r="D53" s="567">
        <v>13842.26</v>
      </c>
      <c r="E53" s="564">
        <v>79.56</v>
      </c>
      <c r="F53" s="567">
        <v>11012.9</v>
      </c>
      <c r="G53" s="564">
        <v>3.88</v>
      </c>
      <c r="H53" s="564">
        <v>537.62</v>
      </c>
      <c r="I53" s="564">
        <v>0.12</v>
      </c>
      <c r="J53" s="564">
        <v>17.09</v>
      </c>
      <c r="K53" s="564" t="s">
        <v>493</v>
      </c>
      <c r="L53" s="564" t="s">
        <v>493</v>
      </c>
      <c r="M53" s="564" t="s">
        <v>493</v>
      </c>
      <c r="N53" s="563" t="s">
        <v>493</v>
      </c>
      <c r="O53" s="564">
        <v>0.02</v>
      </c>
      <c r="P53" s="564">
        <v>3.18</v>
      </c>
      <c r="Q53" s="564" t="s">
        <v>493</v>
      </c>
      <c r="R53" s="564" t="s">
        <v>493</v>
      </c>
      <c r="S53" s="564">
        <v>1.41</v>
      </c>
      <c r="T53" s="564">
        <v>195.17</v>
      </c>
      <c r="U53" s="564">
        <v>0.04</v>
      </c>
      <c r="V53" s="564">
        <v>5.8</v>
      </c>
      <c r="W53" s="564">
        <v>85.04</v>
      </c>
      <c r="X53" s="567">
        <v>11771.77</v>
      </c>
      <c r="Y53" s="567">
        <v>25614.02</v>
      </c>
    </row>
    <row r="54" spans="1:25">
      <c r="A54" s="565" t="s">
        <v>449</v>
      </c>
      <c r="B54" s="564" t="s">
        <v>481</v>
      </c>
      <c r="C54" s="564" t="s">
        <v>35</v>
      </c>
      <c r="D54" s="567">
        <v>3212.59</v>
      </c>
      <c r="E54" s="564">
        <v>80.989999999999995</v>
      </c>
      <c r="F54" s="567">
        <v>2601.87</v>
      </c>
      <c r="G54" s="564">
        <v>16.73</v>
      </c>
      <c r="H54" s="564">
        <v>537.62</v>
      </c>
      <c r="I54" s="564">
        <v>0.53</v>
      </c>
      <c r="J54" s="564">
        <v>17.09</v>
      </c>
      <c r="K54" s="564" t="s">
        <v>493</v>
      </c>
      <c r="L54" s="564" t="s">
        <v>493</v>
      </c>
      <c r="M54" s="564">
        <v>0.82</v>
      </c>
      <c r="N54" s="564">
        <v>26.28</v>
      </c>
      <c r="O54" s="564">
        <v>0.11</v>
      </c>
      <c r="P54" s="564">
        <v>3.68</v>
      </c>
      <c r="Q54" s="564" t="s">
        <v>493</v>
      </c>
      <c r="R54" s="564" t="s">
        <v>493</v>
      </c>
      <c r="S54" s="564">
        <v>6.08</v>
      </c>
      <c r="T54" s="564">
        <v>195.17</v>
      </c>
      <c r="U54" s="564">
        <v>0.18</v>
      </c>
      <c r="V54" s="564">
        <v>5.8</v>
      </c>
      <c r="W54" s="564">
        <v>105.45</v>
      </c>
      <c r="X54" s="567">
        <v>3387.51</v>
      </c>
      <c r="Y54" s="567">
        <v>6600.1</v>
      </c>
    </row>
    <row r="55" spans="1:25">
      <c r="A55" s="565" t="s">
        <v>450</v>
      </c>
      <c r="B55" s="564" t="s">
        <v>482</v>
      </c>
      <c r="C55" s="564" t="s">
        <v>35</v>
      </c>
      <c r="D55" s="567">
        <v>4283.45</v>
      </c>
      <c r="E55" s="564">
        <v>80.989999999999995</v>
      </c>
      <c r="F55" s="567">
        <v>3469.17</v>
      </c>
      <c r="G55" s="564">
        <v>12.55</v>
      </c>
      <c r="H55" s="564">
        <v>537.62</v>
      </c>
      <c r="I55" s="564">
        <v>0.4</v>
      </c>
      <c r="J55" s="564">
        <v>17.09</v>
      </c>
      <c r="K55" s="564" t="s">
        <v>493</v>
      </c>
      <c r="L55" s="564" t="s">
        <v>493</v>
      </c>
      <c r="M55" s="564" t="s">
        <v>493</v>
      </c>
      <c r="N55" s="564" t="s">
        <v>493</v>
      </c>
      <c r="O55" s="564">
        <v>0.09</v>
      </c>
      <c r="P55" s="564">
        <v>3.68</v>
      </c>
      <c r="Q55" s="564" t="s">
        <v>493</v>
      </c>
      <c r="R55" s="564" t="s">
        <v>493</v>
      </c>
      <c r="S55" s="564">
        <v>4.5599999999999996</v>
      </c>
      <c r="T55" s="564">
        <v>195.17</v>
      </c>
      <c r="U55" s="564">
        <v>0.14000000000000001</v>
      </c>
      <c r="V55" s="564">
        <v>5.8</v>
      </c>
      <c r="W55" s="564">
        <v>98.72</v>
      </c>
      <c r="X55" s="567">
        <v>4228.53</v>
      </c>
      <c r="Y55" s="567">
        <v>8511.98</v>
      </c>
    </row>
    <row r="56" spans="1:25">
      <c r="A56" s="565" t="s">
        <v>451</v>
      </c>
      <c r="B56" s="564" t="s">
        <v>483</v>
      </c>
      <c r="C56" s="564" t="s">
        <v>35</v>
      </c>
      <c r="D56" s="567">
        <v>7749.53</v>
      </c>
      <c r="E56" s="564">
        <v>80.989999999999995</v>
      </c>
      <c r="F56" s="567">
        <v>6276.34</v>
      </c>
      <c r="G56" s="564">
        <v>6.94</v>
      </c>
      <c r="H56" s="564">
        <v>537.62</v>
      </c>
      <c r="I56" s="564">
        <v>0.22</v>
      </c>
      <c r="J56" s="564">
        <v>17.09</v>
      </c>
      <c r="K56" s="564" t="s">
        <v>493</v>
      </c>
      <c r="L56" s="564" t="s">
        <v>493</v>
      </c>
      <c r="M56" s="564" t="s">
        <v>493</v>
      </c>
      <c r="N56" s="564" t="s">
        <v>493</v>
      </c>
      <c r="O56" s="564">
        <v>0.05</v>
      </c>
      <c r="P56" s="564">
        <v>3.68</v>
      </c>
      <c r="Q56" s="564" t="s">
        <v>493</v>
      </c>
      <c r="R56" s="564" t="s">
        <v>493</v>
      </c>
      <c r="S56" s="564">
        <v>2.52</v>
      </c>
      <c r="T56" s="564">
        <v>195.17</v>
      </c>
      <c r="U56" s="564">
        <v>7.0000000000000007E-2</v>
      </c>
      <c r="V56" s="564">
        <v>5.8</v>
      </c>
      <c r="W56" s="564">
        <v>90.79</v>
      </c>
      <c r="X56" s="567">
        <v>7035.7</v>
      </c>
      <c r="Y56" s="567">
        <v>14785.23</v>
      </c>
    </row>
    <row r="57" spans="1:25">
      <c r="A57" s="565" t="s">
        <v>452</v>
      </c>
      <c r="B57" s="564" t="s">
        <v>484</v>
      </c>
      <c r="C57" s="564" t="s">
        <v>35</v>
      </c>
      <c r="D57" s="567">
        <v>2639.29</v>
      </c>
      <c r="E57" s="564">
        <v>80.03</v>
      </c>
      <c r="F57" s="567">
        <v>2112.2199999999998</v>
      </c>
      <c r="G57" s="564">
        <v>20.37</v>
      </c>
      <c r="H57" s="564">
        <v>537.62</v>
      </c>
      <c r="I57" s="564">
        <v>0.65</v>
      </c>
      <c r="J57" s="564">
        <v>17.09</v>
      </c>
      <c r="K57" s="564" t="s">
        <v>493</v>
      </c>
      <c r="L57" s="564" t="s">
        <v>493</v>
      </c>
      <c r="M57" s="564">
        <v>2.2999999999999998</v>
      </c>
      <c r="N57" s="564">
        <v>60.67</v>
      </c>
      <c r="O57" s="564">
        <v>0.1</v>
      </c>
      <c r="P57" s="564">
        <v>2.74</v>
      </c>
      <c r="Q57" s="564" t="s">
        <v>493</v>
      </c>
      <c r="R57" s="564" t="s">
        <v>493</v>
      </c>
      <c r="S57" s="564">
        <v>7.39</v>
      </c>
      <c r="T57" s="564">
        <v>195.17</v>
      </c>
      <c r="U57" s="564">
        <v>0.22</v>
      </c>
      <c r="V57" s="564">
        <v>5.8</v>
      </c>
      <c r="W57" s="564">
        <v>111.06</v>
      </c>
      <c r="X57" s="567">
        <v>2931.32</v>
      </c>
      <c r="Y57" s="567">
        <v>5570.61</v>
      </c>
    </row>
    <row r="58" spans="1:25">
      <c r="A58" s="565" t="s">
        <v>453</v>
      </c>
      <c r="B58" s="564" t="s">
        <v>485</v>
      </c>
      <c r="C58" s="564" t="s">
        <v>35</v>
      </c>
      <c r="D58" s="567">
        <v>3519.05</v>
      </c>
      <c r="E58" s="564">
        <v>80.03</v>
      </c>
      <c r="F58" s="567">
        <v>2816.29</v>
      </c>
      <c r="G58" s="564">
        <v>15.28</v>
      </c>
      <c r="H58" s="564">
        <v>537.62</v>
      </c>
      <c r="I58" s="564">
        <v>0.49</v>
      </c>
      <c r="J58" s="564">
        <v>17.09</v>
      </c>
      <c r="K58" s="564" t="s">
        <v>493</v>
      </c>
      <c r="L58" s="564" t="s">
        <v>493</v>
      </c>
      <c r="M58" s="564">
        <v>0.22</v>
      </c>
      <c r="N58" s="564">
        <v>7.89</v>
      </c>
      <c r="O58" s="564">
        <v>0.08</v>
      </c>
      <c r="P58" s="564">
        <v>2.74</v>
      </c>
      <c r="Q58" s="564" t="s">
        <v>493</v>
      </c>
      <c r="R58" s="564" t="s">
        <v>493</v>
      </c>
      <c r="S58" s="564">
        <v>5.55</v>
      </c>
      <c r="T58" s="564">
        <v>195.17</v>
      </c>
      <c r="U58" s="564">
        <v>0.16</v>
      </c>
      <c r="V58" s="564">
        <v>5.8</v>
      </c>
      <c r="W58" s="564">
        <v>101.81</v>
      </c>
      <c r="X58" s="567">
        <v>3582.61</v>
      </c>
      <c r="Y58" s="567">
        <v>7101.65</v>
      </c>
    </row>
    <row r="59" spans="1:25">
      <c r="A59" s="565" t="s">
        <v>454</v>
      </c>
      <c r="B59" s="564" t="s">
        <v>486</v>
      </c>
      <c r="C59" s="564" t="s">
        <v>35</v>
      </c>
      <c r="D59" s="567">
        <v>7082.22</v>
      </c>
      <c r="E59" s="564">
        <v>80.03</v>
      </c>
      <c r="F59" s="567">
        <v>5667.9</v>
      </c>
      <c r="G59" s="564">
        <v>7.59</v>
      </c>
      <c r="H59" s="564">
        <v>537.62</v>
      </c>
      <c r="I59" s="564">
        <v>0.24</v>
      </c>
      <c r="J59" s="564">
        <v>17.09</v>
      </c>
      <c r="K59" s="564" t="s">
        <v>493</v>
      </c>
      <c r="L59" s="564" t="s">
        <v>493</v>
      </c>
      <c r="M59" s="564" t="s">
        <v>493</v>
      </c>
      <c r="N59" s="564" t="s">
        <v>493</v>
      </c>
      <c r="O59" s="564">
        <v>0.04</v>
      </c>
      <c r="P59" s="564">
        <v>2.74</v>
      </c>
      <c r="Q59" s="564" t="s">
        <v>493</v>
      </c>
      <c r="R59" s="564" t="s">
        <v>493</v>
      </c>
      <c r="S59" s="564">
        <v>2.76</v>
      </c>
      <c r="T59" s="564">
        <v>195.17</v>
      </c>
      <c r="U59" s="564">
        <v>0.08</v>
      </c>
      <c r="V59" s="564">
        <v>5.8</v>
      </c>
      <c r="W59" s="564">
        <v>90.74</v>
      </c>
      <c r="X59" s="567">
        <v>6426.33</v>
      </c>
      <c r="Y59" s="567">
        <v>13508.54</v>
      </c>
    </row>
    <row r="60" spans="1:25">
      <c r="A60" s="565" t="s">
        <v>455</v>
      </c>
      <c r="B60" s="564" t="s">
        <v>487</v>
      </c>
      <c r="C60" s="564" t="s">
        <v>35</v>
      </c>
      <c r="D60" s="567">
        <v>1832.09</v>
      </c>
      <c r="E60" s="564">
        <v>76.59</v>
      </c>
      <c r="F60" s="567">
        <v>1403.2</v>
      </c>
      <c r="G60" s="564">
        <v>29.34</v>
      </c>
      <c r="H60" s="564">
        <v>537.62</v>
      </c>
      <c r="I60" s="564">
        <v>1.05</v>
      </c>
      <c r="J60" s="564">
        <v>19.16</v>
      </c>
      <c r="K60" s="564" t="s">
        <v>493</v>
      </c>
      <c r="L60" s="564" t="s">
        <v>493</v>
      </c>
      <c r="M60" s="564">
        <v>5.96</v>
      </c>
      <c r="N60" s="564">
        <v>109.11</v>
      </c>
      <c r="O60" s="564">
        <v>0.24</v>
      </c>
      <c r="P60" s="564">
        <v>4.3099999999999996</v>
      </c>
      <c r="Q60" s="564" t="s">
        <v>493</v>
      </c>
      <c r="R60" s="564" t="s">
        <v>493</v>
      </c>
      <c r="S60" s="564">
        <v>10.65</v>
      </c>
      <c r="T60" s="564">
        <v>195.17</v>
      </c>
      <c r="U60" s="564">
        <v>0.32</v>
      </c>
      <c r="V60" s="564">
        <v>5.8</v>
      </c>
      <c r="W60" s="564">
        <v>124.14</v>
      </c>
      <c r="X60" s="567">
        <v>2274.37</v>
      </c>
      <c r="Y60" s="567">
        <v>4106.46</v>
      </c>
    </row>
    <row r="61" spans="1:25">
      <c r="A61" s="565" t="s">
        <v>456</v>
      </c>
      <c r="B61" s="564" t="s">
        <v>488</v>
      </c>
      <c r="C61" s="564" t="s">
        <v>35</v>
      </c>
      <c r="D61" s="567">
        <v>8882.5</v>
      </c>
      <c r="E61" s="564">
        <v>79.33</v>
      </c>
      <c r="F61" s="567">
        <v>7046.49</v>
      </c>
      <c r="G61" s="564">
        <v>6.05</v>
      </c>
      <c r="H61" s="564">
        <v>537.62</v>
      </c>
      <c r="I61" s="564">
        <v>0.19</v>
      </c>
      <c r="J61" s="564">
        <v>17.09</v>
      </c>
      <c r="K61" s="564" t="s">
        <v>493</v>
      </c>
      <c r="L61" s="564" t="s">
        <v>493</v>
      </c>
      <c r="M61" s="564" t="s">
        <v>493</v>
      </c>
      <c r="N61" s="564" t="s">
        <v>493</v>
      </c>
      <c r="O61" s="564">
        <v>0.02</v>
      </c>
      <c r="P61" s="564">
        <v>2.0099999999999998</v>
      </c>
      <c r="Q61" s="564" t="s">
        <v>493</v>
      </c>
      <c r="R61" s="564" t="s">
        <v>493</v>
      </c>
      <c r="S61" s="564">
        <v>2.2000000000000002</v>
      </c>
      <c r="T61" s="564">
        <v>195.17</v>
      </c>
      <c r="U61" s="564">
        <v>7.0000000000000007E-2</v>
      </c>
      <c r="V61" s="564">
        <v>5.8</v>
      </c>
      <c r="W61" s="564">
        <v>87.86</v>
      </c>
      <c r="X61" s="567">
        <v>7804.18</v>
      </c>
      <c r="Y61" s="567">
        <v>16686.68</v>
      </c>
    </row>
    <row r="62" spans="1:25">
      <c r="A62" s="565" t="s">
        <v>457</v>
      </c>
      <c r="B62" s="564" t="s">
        <v>489</v>
      </c>
      <c r="C62" s="564" t="s">
        <v>35</v>
      </c>
      <c r="D62" s="567">
        <v>3776.85</v>
      </c>
      <c r="E62" s="564">
        <v>79.739999999999995</v>
      </c>
      <c r="F62" s="567">
        <v>3011.66</v>
      </c>
      <c r="G62" s="564">
        <v>14.23</v>
      </c>
      <c r="H62" s="564">
        <v>537.62</v>
      </c>
      <c r="I62" s="564">
        <v>0.45</v>
      </c>
      <c r="J62" s="564">
        <v>17.09</v>
      </c>
      <c r="K62" s="564" t="s">
        <v>493</v>
      </c>
      <c r="L62" s="564" t="s">
        <v>493</v>
      </c>
      <c r="M62" s="564" t="s">
        <v>493</v>
      </c>
      <c r="N62" s="564" t="s">
        <v>493</v>
      </c>
      <c r="O62" s="564">
        <v>0.06</v>
      </c>
      <c r="P62" s="564">
        <v>2.2999999999999998</v>
      </c>
      <c r="Q62" s="564" t="s">
        <v>493</v>
      </c>
      <c r="R62" s="564" t="s">
        <v>493</v>
      </c>
      <c r="S62" s="564">
        <v>5.17</v>
      </c>
      <c r="T62" s="564">
        <v>195.17</v>
      </c>
      <c r="U62" s="564">
        <v>0.15</v>
      </c>
      <c r="V62" s="564">
        <v>5.8</v>
      </c>
      <c r="W62" s="564">
        <v>99.81</v>
      </c>
      <c r="X62" s="567">
        <v>3769.65</v>
      </c>
      <c r="Y62" s="567">
        <v>7546.5</v>
      </c>
    </row>
    <row r="63" spans="1:25">
      <c r="A63" s="565" t="s">
        <v>458</v>
      </c>
      <c r="B63" s="564" t="s">
        <v>490</v>
      </c>
      <c r="C63" s="564" t="s">
        <v>35</v>
      </c>
      <c r="D63" s="567">
        <v>5035.8</v>
      </c>
      <c r="E63" s="564">
        <v>79.739999999999995</v>
      </c>
      <c r="F63" s="567">
        <v>4015.55</v>
      </c>
      <c r="G63" s="564">
        <v>10.68</v>
      </c>
      <c r="H63" s="564">
        <v>537.62</v>
      </c>
      <c r="I63" s="564">
        <v>0.34</v>
      </c>
      <c r="J63" s="564">
        <v>17.09</v>
      </c>
      <c r="K63" s="564" t="s">
        <v>493</v>
      </c>
      <c r="L63" s="564" t="s">
        <v>493</v>
      </c>
      <c r="M63" s="564" t="s">
        <v>493</v>
      </c>
      <c r="N63" s="564" t="s">
        <v>493</v>
      </c>
      <c r="O63" s="564">
        <v>0.05</v>
      </c>
      <c r="P63" s="564">
        <v>2.2999999999999998</v>
      </c>
      <c r="Q63" s="564" t="s">
        <v>493</v>
      </c>
      <c r="R63" s="564" t="s">
        <v>493</v>
      </c>
      <c r="S63" s="564">
        <v>3.88</v>
      </c>
      <c r="T63" s="564">
        <v>195.17</v>
      </c>
      <c r="U63" s="564">
        <v>0.12</v>
      </c>
      <c r="V63" s="564">
        <v>5.8</v>
      </c>
      <c r="W63" s="564">
        <v>94.79</v>
      </c>
      <c r="X63" s="567">
        <v>4773.53</v>
      </c>
      <c r="Y63" s="567">
        <v>9809.33</v>
      </c>
    </row>
    <row r="64" spans="1:25">
      <c r="A64" s="565" t="s">
        <v>459</v>
      </c>
      <c r="B64" s="564" t="s">
        <v>491</v>
      </c>
      <c r="C64" s="564" t="s">
        <v>35</v>
      </c>
      <c r="D64" s="567">
        <v>8917.58</v>
      </c>
      <c r="E64" s="564">
        <v>79.739999999999995</v>
      </c>
      <c r="F64" s="567">
        <v>7110.88</v>
      </c>
      <c r="G64" s="564">
        <v>6.03</v>
      </c>
      <c r="H64" s="564">
        <v>537.62</v>
      </c>
      <c r="I64" s="564">
        <v>0.19</v>
      </c>
      <c r="J64" s="564">
        <v>17.09</v>
      </c>
      <c r="K64" s="564" t="s">
        <v>493</v>
      </c>
      <c r="L64" s="564" t="s">
        <v>493</v>
      </c>
      <c r="M64" s="564" t="s">
        <v>493</v>
      </c>
      <c r="N64" s="563" t="s">
        <v>493</v>
      </c>
      <c r="O64" s="564">
        <v>0.03</v>
      </c>
      <c r="P64" s="564">
        <v>2.2999999999999998</v>
      </c>
      <c r="Q64" s="564" t="s">
        <v>493</v>
      </c>
      <c r="R64" s="564" t="s">
        <v>493</v>
      </c>
      <c r="S64" s="564">
        <v>2.19</v>
      </c>
      <c r="T64" s="564">
        <v>195.17</v>
      </c>
      <c r="U64" s="564">
        <v>7.0000000000000007E-2</v>
      </c>
      <c r="V64" s="564">
        <v>5.8</v>
      </c>
      <c r="W64" s="564">
        <v>88.24</v>
      </c>
      <c r="X64" s="567">
        <v>7868.86</v>
      </c>
      <c r="Y64" s="567">
        <v>16786.439999999999</v>
      </c>
    </row>
    <row r="65" spans="1:25">
      <c r="A65" s="565" t="s">
        <v>552</v>
      </c>
      <c r="B65" s="564" t="s">
        <v>571</v>
      </c>
      <c r="C65" s="564" t="s">
        <v>35</v>
      </c>
      <c r="D65" s="567">
        <v>1819.16</v>
      </c>
      <c r="E65" s="564">
        <v>78.069999999999993</v>
      </c>
      <c r="F65" s="567">
        <v>1420.21</v>
      </c>
      <c r="G65" s="564">
        <v>29.55</v>
      </c>
      <c r="H65" s="564">
        <v>537.62</v>
      </c>
      <c r="I65" s="564">
        <v>1.1399999999999999</v>
      </c>
      <c r="J65" s="564">
        <v>20.8</v>
      </c>
      <c r="K65" s="564" t="s">
        <v>493</v>
      </c>
      <c r="L65" s="564" t="s">
        <v>493</v>
      </c>
      <c r="M65" s="564">
        <v>6.04</v>
      </c>
      <c r="N65" s="564">
        <v>109.88</v>
      </c>
      <c r="O65" s="564">
        <v>0.26</v>
      </c>
      <c r="P65" s="564">
        <v>4.8099999999999996</v>
      </c>
      <c r="Q65" s="564" t="s">
        <v>493</v>
      </c>
      <c r="R65" s="564" t="s">
        <v>493</v>
      </c>
      <c r="S65" s="564">
        <v>10.73</v>
      </c>
      <c r="T65" s="564">
        <v>195.17</v>
      </c>
      <c r="U65" s="564">
        <v>0.32</v>
      </c>
      <c r="V65" s="564">
        <v>5.8</v>
      </c>
      <c r="W65" s="564">
        <v>126.12</v>
      </c>
      <c r="X65" s="567">
        <v>2294.31</v>
      </c>
      <c r="Y65" s="567">
        <v>4113.46</v>
      </c>
    </row>
    <row r="66" spans="1:25">
      <c r="A66" s="565" t="s">
        <v>553</v>
      </c>
      <c r="B66" s="564" t="s">
        <v>572</v>
      </c>
      <c r="C66" s="564" t="s">
        <v>35</v>
      </c>
      <c r="D66" s="567">
        <v>1676.06</v>
      </c>
      <c r="E66" s="564">
        <v>77.19</v>
      </c>
      <c r="F66" s="567">
        <v>1293.75</v>
      </c>
      <c r="G66" s="564">
        <v>32.08</v>
      </c>
      <c r="H66" s="564">
        <v>537.62</v>
      </c>
      <c r="I66" s="564">
        <v>1.24</v>
      </c>
      <c r="J66" s="564">
        <v>20.8</v>
      </c>
      <c r="K66" s="564" t="s">
        <v>493</v>
      </c>
      <c r="L66" s="564" t="s">
        <v>493</v>
      </c>
      <c r="M66" s="564">
        <v>7.07</v>
      </c>
      <c r="N66" s="564">
        <v>118.47</v>
      </c>
      <c r="O66" s="564">
        <v>0.23</v>
      </c>
      <c r="P66" s="564">
        <v>3.85</v>
      </c>
      <c r="Q66" s="564" t="s">
        <v>493</v>
      </c>
      <c r="R66" s="564" t="s">
        <v>493</v>
      </c>
      <c r="S66" s="564">
        <v>11.64</v>
      </c>
      <c r="T66" s="564">
        <v>195.17</v>
      </c>
      <c r="U66" s="564">
        <v>0.35</v>
      </c>
      <c r="V66" s="564">
        <v>5.8</v>
      </c>
      <c r="W66" s="564">
        <v>129.80000000000001</v>
      </c>
      <c r="X66" s="567">
        <v>2175.46</v>
      </c>
      <c r="Y66" s="567">
        <v>3851.52</v>
      </c>
    </row>
    <row r="67" spans="1:25">
      <c r="A67" s="565" t="s">
        <v>554</v>
      </c>
      <c r="B67" s="564" t="s">
        <v>573</v>
      </c>
      <c r="C67" s="564" t="s">
        <v>35</v>
      </c>
      <c r="D67" s="567">
        <v>3416.43</v>
      </c>
      <c r="E67" s="564">
        <v>80.48</v>
      </c>
      <c r="F67" s="567">
        <v>2749.54</v>
      </c>
      <c r="G67" s="564">
        <v>15.74</v>
      </c>
      <c r="H67" s="564">
        <v>537.62</v>
      </c>
      <c r="I67" s="564">
        <v>0.5</v>
      </c>
      <c r="J67" s="564">
        <v>17.09</v>
      </c>
      <c r="K67" s="564" t="s">
        <v>493</v>
      </c>
      <c r="L67" s="564" t="s">
        <v>493</v>
      </c>
      <c r="M67" s="564">
        <v>0.41</v>
      </c>
      <c r="N67" s="564">
        <v>14.05</v>
      </c>
      <c r="O67" s="564">
        <v>0.11</v>
      </c>
      <c r="P67" s="564">
        <v>3.85</v>
      </c>
      <c r="Q67" s="564" t="s">
        <v>493</v>
      </c>
      <c r="R67" s="564" t="s">
        <v>493</v>
      </c>
      <c r="S67" s="564">
        <v>5.71</v>
      </c>
      <c r="T67" s="564">
        <v>195.17</v>
      </c>
      <c r="U67" s="564">
        <v>0.17</v>
      </c>
      <c r="V67" s="564">
        <v>5.8</v>
      </c>
      <c r="W67" s="564">
        <v>103.12</v>
      </c>
      <c r="X67" s="567">
        <v>3523.12</v>
      </c>
      <c r="Y67" s="567">
        <v>6939.55</v>
      </c>
    </row>
    <row r="68" spans="1:25">
      <c r="A68" s="565" t="s">
        <v>555</v>
      </c>
      <c r="B68" s="564" t="s">
        <v>574</v>
      </c>
      <c r="C68" s="564" t="s">
        <v>35</v>
      </c>
      <c r="D68" s="567">
        <v>4555.24</v>
      </c>
      <c r="E68" s="564">
        <v>80.48</v>
      </c>
      <c r="F68" s="567">
        <v>3666.06</v>
      </c>
      <c r="G68" s="564">
        <v>11.8</v>
      </c>
      <c r="H68" s="564">
        <v>537.62</v>
      </c>
      <c r="I68" s="564">
        <v>0.38</v>
      </c>
      <c r="J68" s="564">
        <v>17.09</v>
      </c>
      <c r="K68" s="564" t="s">
        <v>493</v>
      </c>
      <c r="L68" s="564" t="s">
        <v>493</v>
      </c>
      <c r="M68" s="564" t="s">
        <v>493</v>
      </c>
      <c r="N68" s="564" t="s">
        <v>493</v>
      </c>
      <c r="O68" s="564">
        <v>0.08</v>
      </c>
      <c r="P68" s="564">
        <v>3.85</v>
      </c>
      <c r="Q68" s="564" t="s">
        <v>493</v>
      </c>
      <c r="R68" s="564" t="s">
        <v>493</v>
      </c>
      <c r="S68" s="564">
        <v>4.28</v>
      </c>
      <c r="T68" s="564">
        <v>195.17</v>
      </c>
      <c r="U68" s="564">
        <v>0.13</v>
      </c>
      <c r="V68" s="564">
        <v>5.8</v>
      </c>
      <c r="W68" s="564">
        <v>97.15</v>
      </c>
      <c r="X68" s="567">
        <v>4425.58</v>
      </c>
      <c r="Y68" s="567">
        <v>8980.82</v>
      </c>
    </row>
    <row r="69" spans="1:25">
      <c r="A69" s="565" t="s">
        <v>556</v>
      </c>
      <c r="B69" s="564" t="s">
        <v>575</v>
      </c>
      <c r="C69" s="564" t="s">
        <v>35</v>
      </c>
      <c r="D69" s="567">
        <v>6816.78</v>
      </c>
      <c r="E69" s="564">
        <v>80.48</v>
      </c>
      <c r="F69" s="567">
        <v>5486.14</v>
      </c>
      <c r="G69" s="564">
        <v>7.89</v>
      </c>
      <c r="H69" s="564">
        <v>537.62</v>
      </c>
      <c r="I69" s="564">
        <v>0.25</v>
      </c>
      <c r="J69" s="564">
        <v>17.09</v>
      </c>
      <c r="K69" s="564" t="s">
        <v>493</v>
      </c>
      <c r="L69" s="564" t="s">
        <v>493</v>
      </c>
      <c r="M69" s="564" t="s">
        <v>493</v>
      </c>
      <c r="N69" s="564" t="s">
        <v>493</v>
      </c>
      <c r="O69" s="564">
        <v>0.06</v>
      </c>
      <c r="P69" s="564">
        <v>3.85</v>
      </c>
      <c r="Q69" s="564" t="s">
        <v>493</v>
      </c>
      <c r="R69" s="564" t="s">
        <v>493</v>
      </c>
      <c r="S69" s="564">
        <v>2.86</v>
      </c>
      <c r="T69" s="564">
        <v>195.17</v>
      </c>
      <c r="U69" s="564">
        <v>0.09</v>
      </c>
      <c r="V69" s="564">
        <v>5.8</v>
      </c>
      <c r="W69" s="564">
        <v>91.62</v>
      </c>
      <c r="X69" s="567">
        <v>6245.67</v>
      </c>
      <c r="Y69" s="567">
        <v>13062.45</v>
      </c>
    </row>
    <row r="70" spans="1:25">
      <c r="A70" s="565" t="s">
        <v>557</v>
      </c>
      <c r="B70" s="563" t="s">
        <v>660</v>
      </c>
      <c r="C70" s="564" t="s">
        <v>35</v>
      </c>
      <c r="D70" s="567">
        <v>2982.87</v>
      </c>
      <c r="E70" s="564">
        <v>81.3</v>
      </c>
      <c r="F70" s="567">
        <v>2425.0700000000002</v>
      </c>
      <c r="G70" s="564">
        <v>18.02</v>
      </c>
      <c r="H70" s="564">
        <v>537.62</v>
      </c>
      <c r="I70" s="564">
        <v>0.56999999999999995</v>
      </c>
      <c r="J70" s="564">
        <v>17.09</v>
      </c>
      <c r="K70" s="564" t="s">
        <v>493</v>
      </c>
      <c r="L70" s="564" t="s">
        <v>493</v>
      </c>
      <c r="M70" s="564">
        <v>1.34</v>
      </c>
      <c r="N70" s="564">
        <v>40.06</v>
      </c>
      <c r="O70" s="564">
        <v>0.18</v>
      </c>
      <c r="P70" s="564">
        <v>5.24</v>
      </c>
      <c r="Q70" s="564" t="s">
        <v>493</v>
      </c>
      <c r="R70" s="564" t="s">
        <v>493</v>
      </c>
      <c r="S70" s="564">
        <v>6.54</v>
      </c>
      <c r="T70" s="564">
        <v>195.17</v>
      </c>
      <c r="U70" s="564">
        <v>0.19</v>
      </c>
      <c r="V70" s="564">
        <v>5.8</v>
      </c>
      <c r="W70" s="564">
        <v>108.15</v>
      </c>
      <c r="X70" s="567">
        <v>3226.06</v>
      </c>
      <c r="Y70" s="567">
        <v>6208.93</v>
      </c>
    </row>
    <row r="71" spans="1:25">
      <c r="A71" s="565" t="s">
        <v>558</v>
      </c>
      <c r="B71" s="563" t="s">
        <v>661</v>
      </c>
      <c r="C71" s="564" t="s">
        <v>35</v>
      </c>
      <c r="D71" s="567">
        <v>3977.16</v>
      </c>
      <c r="E71" s="564">
        <v>81.3</v>
      </c>
      <c r="F71" s="567">
        <v>3233.43</v>
      </c>
      <c r="G71" s="564">
        <v>13.52</v>
      </c>
      <c r="H71" s="564">
        <v>537.62</v>
      </c>
      <c r="I71" s="564">
        <v>0.43</v>
      </c>
      <c r="J71" s="564">
        <v>17.09</v>
      </c>
      <c r="K71" s="564" t="s">
        <v>493</v>
      </c>
      <c r="L71" s="564" t="s">
        <v>493</v>
      </c>
      <c r="M71" s="564" t="s">
        <v>493</v>
      </c>
      <c r="N71" s="564" t="s">
        <v>493</v>
      </c>
      <c r="O71" s="564">
        <v>0.13</v>
      </c>
      <c r="P71" s="564">
        <v>5.24</v>
      </c>
      <c r="Q71" s="564" t="s">
        <v>493</v>
      </c>
      <c r="R71" s="564" t="s">
        <v>493</v>
      </c>
      <c r="S71" s="564">
        <v>4.91</v>
      </c>
      <c r="T71" s="564">
        <v>195.17</v>
      </c>
      <c r="U71" s="564">
        <v>0.15</v>
      </c>
      <c r="V71" s="564">
        <v>5.8</v>
      </c>
      <c r="W71" s="564">
        <v>100.43</v>
      </c>
      <c r="X71" s="567">
        <v>3994.35</v>
      </c>
      <c r="Y71" s="567">
        <v>7971.52</v>
      </c>
    </row>
    <row r="72" spans="1:25">
      <c r="A72" s="565" t="s">
        <v>559</v>
      </c>
      <c r="B72" s="563" t="s">
        <v>662</v>
      </c>
      <c r="C72" s="564" t="s">
        <v>35</v>
      </c>
      <c r="D72" s="567">
        <v>6355.79</v>
      </c>
      <c r="E72" s="564">
        <v>81.3</v>
      </c>
      <c r="F72" s="567">
        <v>5167.26</v>
      </c>
      <c r="G72" s="564">
        <v>8.4600000000000009</v>
      </c>
      <c r="H72" s="564">
        <v>537.62</v>
      </c>
      <c r="I72" s="564">
        <v>0.27</v>
      </c>
      <c r="J72" s="564">
        <v>17.09</v>
      </c>
      <c r="K72" s="564" t="s">
        <v>493</v>
      </c>
      <c r="L72" s="564" t="s">
        <v>493</v>
      </c>
      <c r="M72" s="564" t="s">
        <v>493</v>
      </c>
      <c r="N72" s="564" t="s">
        <v>493</v>
      </c>
      <c r="O72" s="564">
        <v>0.08</v>
      </c>
      <c r="P72" s="564">
        <v>5.24</v>
      </c>
      <c r="Q72" s="564" t="s">
        <v>493</v>
      </c>
      <c r="R72" s="564" t="s">
        <v>493</v>
      </c>
      <c r="S72" s="564">
        <v>3.07</v>
      </c>
      <c r="T72" s="564">
        <v>195.17</v>
      </c>
      <c r="U72" s="564">
        <v>0.09</v>
      </c>
      <c r="V72" s="564">
        <v>5.8</v>
      </c>
      <c r="W72" s="564">
        <v>93.27</v>
      </c>
      <c r="X72" s="567">
        <v>5928.18</v>
      </c>
      <c r="Y72" s="567">
        <v>12283.96</v>
      </c>
    </row>
    <row r="73" spans="1:25">
      <c r="A73" s="565" t="s">
        <v>560</v>
      </c>
      <c r="B73" s="564" t="s">
        <v>576</v>
      </c>
      <c r="C73" s="564" t="s">
        <v>35</v>
      </c>
      <c r="D73" s="567">
        <v>3332.93</v>
      </c>
      <c r="E73" s="564">
        <v>80.3</v>
      </c>
      <c r="F73" s="567">
        <v>2676.34</v>
      </c>
      <c r="G73" s="564">
        <v>16.13</v>
      </c>
      <c r="H73" s="564">
        <v>537.62</v>
      </c>
      <c r="I73" s="564">
        <v>0.51</v>
      </c>
      <c r="J73" s="564">
        <v>17.09</v>
      </c>
      <c r="K73" s="564" t="s">
        <v>493</v>
      </c>
      <c r="L73" s="564" t="s">
        <v>493</v>
      </c>
      <c r="M73" s="564">
        <v>0.56999999999999995</v>
      </c>
      <c r="N73" s="564">
        <v>19.059999999999999</v>
      </c>
      <c r="O73" s="564">
        <v>7.0000000000000007E-2</v>
      </c>
      <c r="P73" s="564">
        <v>2.48</v>
      </c>
      <c r="Q73" s="564" t="s">
        <v>493</v>
      </c>
      <c r="R73" s="564" t="s">
        <v>493</v>
      </c>
      <c r="S73" s="564">
        <v>5.86</v>
      </c>
      <c r="T73" s="564">
        <v>195.17</v>
      </c>
      <c r="U73" s="564">
        <v>0.17</v>
      </c>
      <c r="V73" s="564">
        <v>5.8</v>
      </c>
      <c r="W73" s="564">
        <v>103.62</v>
      </c>
      <c r="X73" s="567">
        <v>3453.56</v>
      </c>
      <c r="Y73" s="567">
        <v>6786.49</v>
      </c>
    </row>
    <row r="74" spans="1:25">
      <c r="A74" s="565" t="s">
        <v>561</v>
      </c>
      <c r="B74" s="564" t="s">
        <v>577</v>
      </c>
      <c r="C74" s="564" t="s">
        <v>35</v>
      </c>
      <c r="D74" s="567">
        <v>4443.91</v>
      </c>
      <c r="E74" s="564">
        <v>80.3</v>
      </c>
      <c r="F74" s="567">
        <v>3568.46</v>
      </c>
      <c r="G74" s="564">
        <v>12.1</v>
      </c>
      <c r="H74" s="564">
        <v>537.62</v>
      </c>
      <c r="I74" s="564">
        <v>0.38</v>
      </c>
      <c r="J74" s="564">
        <v>17.09</v>
      </c>
      <c r="K74" s="564" t="s">
        <v>493</v>
      </c>
      <c r="L74" s="564" t="s">
        <v>493</v>
      </c>
      <c r="M74" s="564" t="s">
        <v>493</v>
      </c>
      <c r="N74" s="564" t="s">
        <v>493</v>
      </c>
      <c r="O74" s="564">
        <v>0.06</v>
      </c>
      <c r="P74" s="564">
        <v>2.48</v>
      </c>
      <c r="Q74" s="564" t="s">
        <v>493</v>
      </c>
      <c r="R74" s="564" t="s">
        <v>493</v>
      </c>
      <c r="S74" s="564">
        <v>4.3899999999999997</v>
      </c>
      <c r="T74" s="564">
        <v>195.17</v>
      </c>
      <c r="U74" s="564">
        <v>0.13</v>
      </c>
      <c r="V74" s="564">
        <v>5.8</v>
      </c>
      <c r="W74" s="564">
        <v>97.36</v>
      </c>
      <c r="X74" s="567">
        <v>4326.62</v>
      </c>
      <c r="Y74" s="567">
        <v>8770.52</v>
      </c>
    </row>
    <row r="75" spans="1:25">
      <c r="A75" s="565" t="s">
        <v>562</v>
      </c>
      <c r="B75" s="564" t="s">
        <v>578</v>
      </c>
      <c r="C75" s="564" t="s">
        <v>35</v>
      </c>
      <c r="D75" s="567">
        <v>7813.28</v>
      </c>
      <c r="E75" s="564">
        <v>80.3</v>
      </c>
      <c r="F75" s="567">
        <v>6274.06</v>
      </c>
      <c r="G75" s="564">
        <v>6.88</v>
      </c>
      <c r="H75" s="564">
        <v>537.62</v>
      </c>
      <c r="I75" s="564">
        <v>0.22</v>
      </c>
      <c r="J75" s="564">
        <v>17.09</v>
      </c>
      <c r="K75" s="564" t="s">
        <v>493</v>
      </c>
      <c r="L75" s="564" t="s">
        <v>493</v>
      </c>
      <c r="M75" s="564" t="s">
        <v>493</v>
      </c>
      <c r="N75" s="564" t="s">
        <v>493</v>
      </c>
      <c r="O75" s="564">
        <v>0.03</v>
      </c>
      <c r="P75" s="564">
        <v>2.48</v>
      </c>
      <c r="Q75" s="564" t="s">
        <v>493</v>
      </c>
      <c r="R75" s="564" t="s">
        <v>493</v>
      </c>
      <c r="S75" s="564">
        <v>2.5</v>
      </c>
      <c r="T75" s="564">
        <v>195.17</v>
      </c>
      <c r="U75" s="564">
        <v>7.0000000000000007E-2</v>
      </c>
      <c r="V75" s="564">
        <v>5.8</v>
      </c>
      <c r="W75" s="564">
        <v>90</v>
      </c>
      <c r="X75" s="567">
        <v>7032.22</v>
      </c>
      <c r="Y75" s="567">
        <v>14845.5</v>
      </c>
    </row>
    <row r="76" spans="1:25">
      <c r="A76" s="565" t="s">
        <v>563</v>
      </c>
      <c r="B76" s="564" t="s">
        <v>334</v>
      </c>
      <c r="C76" s="564" t="s">
        <v>35</v>
      </c>
      <c r="D76" s="567">
        <v>1968.4</v>
      </c>
      <c r="E76" s="564">
        <v>76.86</v>
      </c>
      <c r="F76" s="567">
        <v>1512.91</v>
      </c>
      <c r="G76" s="564">
        <v>27.31</v>
      </c>
      <c r="H76" s="564">
        <v>537.62</v>
      </c>
      <c r="I76" s="564" t="s">
        <v>493</v>
      </c>
      <c r="J76" s="564" t="s">
        <v>493</v>
      </c>
      <c r="K76" s="564" t="s">
        <v>493</v>
      </c>
      <c r="L76" s="564" t="s">
        <v>493</v>
      </c>
      <c r="M76" s="564">
        <v>5.13</v>
      </c>
      <c r="N76" s="564">
        <v>100.93</v>
      </c>
      <c r="O76" s="564">
        <v>0.16</v>
      </c>
      <c r="P76" s="564">
        <v>3.19</v>
      </c>
      <c r="Q76" s="564" t="s">
        <v>493</v>
      </c>
      <c r="R76" s="564" t="s">
        <v>493</v>
      </c>
      <c r="S76" s="564">
        <v>9.92</v>
      </c>
      <c r="T76" s="564">
        <v>195.17</v>
      </c>
      <c r="U76" s="564">
        <v>0.28999999999999998</v>
      </c>
      <c r="V76" s="564">
        <v>5.8</v>
      </c>
      <c r="W76" s="564">
        <v>119.67</v>
      </c>
      <c r="X76" s="567">
        <v>2355.62</v>
      </c>
      <c r="Y76" s="567">
        <v>4324.0200000000004</v>
      </c>
    </row>
    <row r="77" spans="1:25">
      <c r="A77" s="565" t="s">
        <v>564</v>
      </c>
      <c r="B77" s="564" t="s">
        <v>579</v>
      </c>
      <c r="C77" s="564" t="s">
        <v>35</v>
      </c>
      <c r="D77" s="567">
        <v>1581.29</v>
      </c>
      <c r="E77" s="564">
        <v>76.040000000000006</v>
      </c>
      <c r="F77" s="567">
        <v>1202.4100000000001</v>
      </c>
      <c r="G77" s="564">
        <v>34</v>
      </c>
      <c r="H77" s="564">
        <v>537.62</v>
      </c>
      <c r="I77" s="564">
        <v>1.21</v>
      </c>
      <c r="J77" s="564">
        <v>19.16</v>
      </c>
      <c r="K77" s="564" t="s">
        <v>493</v>
      </c>
      <c r="L77" s="564" t="s">
        <v>493</v>
      </c>
      <c r="M77" s="564">
        <v>7.85</v>
      </c>
      <c r="N77" s="564">
        <v>124.15</v>
      </c>
      <c r="O77" s="564">
        <v>0.28999999999999998</v>
      </c>
      <c r="P77" s="564">
        <v>4.53</v>
      </c>
      <c r="Q77" s="564" t="s">
        <v>493</v>
      </c>
      <c r="R77" s="564" t="s">
        <v>493</v>
      </c>
      <c r="S77" s="564">
        <v>12.34</v>
      </c>
      <c r="T77" s="564">
        <v>195.17</v>
      </c>
      <c r="U77" s="564">
        <v>0.37</v>
      </c>
      <c r="V77" s="564">
        <v>5.8</v>
      </c>
      <c r="W77" s="564">
        <v>132.1</v>
      </c>
      <c r="X77" s="567">
        <v>2088.85</v>
      </c>
      <c r="Y77" s="567">
        <v>3670.14</v>
      </c>
    </row>
    <row r="78" spans="1:25">
      <c r="A78" s="565" t="s">
        <v>565</v>
      </c>
      <c r="B78" s="564" t="s">
        <v>580</v>
      </c>
      <c r="C78" s="564" t="s">
        <v>35</v>
      </c>
      <c r="D78" s="567">
        <v>2291.36</v>
      </c>
      <c r="E78" s="564">
        <v>76.63</v>
      </c>
      <c r="F78" s="567">
        <v>1755.87</v>
      </c>
      <c r="G78" s="564">
        <v>23.46</v>
      </c>
      <c r="H78" s="564">
        <v>537.62</v>
      </c>
      <c r="I78" s="564">
        <v>0.84</v>
      </c>
      <c r="J78" s="564">
        <v>19.16</v>
      </c>
      <c r="K78" s="564" t="s">
        <v>493</v>
      </c>
      <c r="L78" s="564" t="s">
        <v>493</v>
      </c>
      <c r="M78" s="564">
        <v>3.56</v>
      </c>
      <c r="N78" s="564">
        <v>81.55</v>
      </c>
      <c r="O78" s="564">
        <v>0.19</v>
      </c>
      <c r="P78" s="564">
        <v>4.4400000000000004</v>
      </c>
      <c r="Q78" s="564" t="s">
        <v>493</v>
      </c>
      <c r="R78" s="564" t="s">
        <v>493</v>
      </c>
      <c r="S78" s="564">
        <v>8.52</v>
      </c>
      <c r="T78" s="564">
        <v>195.17</v>
      </c>
      <c r="U78" s="564">
        <v>0.25</v>
      </c>
      <c r="V78" s="564">
        <v>5.8</v>
      </c>
      <c r="W78" s="564">
        <v>113.45</v>
      </c>
      <c r="X78" s="567">
        <v>2599.61</v>
      </c>
      <c r="Y78" s="567">
        <v>4890.9799999999996</v>
      </c>
    </row>
    <row r="79" spans="1:25">
      <c r="A79" s="565" t="s">
        <v>566</v>
      </c>
      <c r="B79" s="564" t="s">
        <v>581</v>
      </c>
      <c r="C79" s="564" t="s">
        <v>35</v>
      </c>
      <c r="D79" s="567">
        <v>2865.43</v>
      </c>
      <c r="E79" s="564">
        <v>76.2</v>
      </c>
      <c r="F79" s="567">
        <v>2183.46</v>
      </c>
      <c r="G79" s="564">
        <v>18.760000000000002</v>
      </c>
      <c r="H79" s="564">
        <v>537.62</v>
      </c>
      <c r="I79" s="564">
        <v>0.67</v>
      </c>
      <c r="J79" s="564">
        <v>19.16</v>
      </c>
      <c r="K79" s="564" t="s">
        <v>493</v>
      </c>
      <c r="L79" s="564" t="s">
        <v>493</v>
      </c>
      <c r="M79" s="564">
        <v>1.64</v>
      </c>
      <c r="N79" s="564">
        <v>47.11</v>
      </c>
      <c r="O79" s="564">
        <v>0.16</v>
      </c>
      <c r="P79" s="564">
        <v>4.47</v>
      </c>
      <c r="Q79" s="564" t="s">
        <v>493</v>
      </c>
      <c r="R79" s="564" t="s">
        <v>493</v>
      </c>
      <c r="S79" s="564">
        <v>6.81</v>
      </c>
      <c r="T79" s="564">
        <v>195.17</v>
      </c>
      <c r="U79" s="564">
        <v>0.2</v>
      </c>
      <c r="V79" s="564">
        <v>5.8</v>
      </c>
      <c r="W79" s="564">
        <v>104.44</v>
      </c>
      <c r="X79" s="567">
        <v>2992.78</v>
      </c>
      <c r="Y79" s="567">
        <v>5858.22</v>
      </c>
    </row>
    <row r="80" spans="1:25">
      <c r="A80" s="565" t="s">
        <v>567</v>
      </c>
      <c r="B80" s="564" t="s">
        <v>582</v>
      </c>
      <c r="C80" s="564" t="s">
        <v>35</v>
      </c>
      <c r="D80" s="567">
        <v>3833.47</v>
      </c>
      <c r="E80" s="564">
        <v>77.44</v>
      </c>
      <c r="F80" s="567">
        <v>2968.64</v>
      </c>
      <c r="G80" s="564">
        <v>14.02</v>
      </c>
      <c r="H80" s="564">
        <v>537.62</v>
      </c>
      <c r="I80" s="564">
        <v>0.5</v>
      </c>
      <c r="J80" s="564">
        <v>19.16</v>
      </c>
      <c r="K80" s="564" t="s">
        <v>493</v>
      </c>
      <c r="L80" s="564" t="s">
        <v>493</v>
      </c>
      <c r="M80" s="564" t="s">
        <v>493</v>
      </c>
      <c r="N80" s="564" t="s">
        <v>493</v>
      </c>
      <c r="O80" s="564">
        <v>0.1</v>
      </c>
      <c r="P80" s="564">
        <v>3.9</v>
      </c>
      <c r="Q80" s="564" t="s">
        <v>493</v>
      </c>
      <c r="R80" s="564" t="s">
        <v>493</v>
      </c>
      <c r="S80" s="564">
        <v>5.09</v>
      </c>
      <c r="T80" s="564">
        <v>195.17</v>
      </c>
      <c r="U80" s="564">
        <v>0.15</v>
      </c>
      <c r="V80" s="564">
        <v>5.8</v>
      </c>
      <c r="W80" s="564">
        <v>97.31</v>
      </c>
      <c r="X80" s="567">
        <v>3730.29</v>
      </c>
      <c r="Y80" s="567">
        <v>7563.76</v>
      </c>
    </row>
    <row r="81" spans="1:25">
      <c r="A81" s="565" t="s">
        <v>568</v>
      </c>
      <c r="B81" s="564" t="s">
        <v>583</v>
      </c>
      <c r="C81" s="564" t="s">
        <v>35</v>
      </c>
      <c r="D81" s="567">
        <v>2183.02</v>
      </c>
      <c r="E81" s="564">
        <v>75.78</v>
      </c>
      <c r="F81" s="567">
        <v>1654.29</v>
      </c>
      <c r="G81" s="564">
        <v>24.63</v>
      </c>
      <c r="H81" s="564">
        <v>537.62</v>
      </c>
      <c r="I81" s="564">
        <v>0.88</v>
      </c>
      <c r="J81" s="564">
        <v>19.16</v>
      </c>
      <c r="K81" s="564" t="s">
        <v>493</v>
      </c>
      <c r="L81" s="564" t="s">
        <v>493</v>
      </c>
      <c r="M81" s="564">
        <v>4.03</v>
      </c>
      <c r="N81" s="564">
        <v>88.05</v>
      </c>
      <c r="O81" s="564">
        <v>0.15</v>
      </c>
      <c r="P81" s="564">
        <v>3.35</v>
      </c>
      <c r="Q81" s="564" t="s">
        <v>493</v>
      </c>
      <c r="R81" s="564" t="s">
        <v>493</v>
      </c>
      <c r="S81" s="564">
        <v>8.94</v>
      </c>
      <c r="T81" s="564">
        <v>195.17</v>
      </c>
      <c r="U81" s="564">
        <v>0.27</v>
      </c>
      <c r="V81" s="564">
        <v>5.8</v>
      </c>
      <c r="W81" s="564">
        <v>114.68</v>
      </c>
      <c r="X81" s="567">
        <v>2503.4499999999998</v>
      </c>
      <c r="Y81" s="567">
        <v>4686.46</v>
      </c>
    </row>
    <row r="82" spans="1:25">
      <c r="A82" s="565" t="s">
        <v>569</v>
      </c>
      <c r="B82" s="564" t="s">
        <v>584</v>
      </c>
      <c r="C82" s="564" t="s">
        <v>35</v>
      </c>
      <c r="D82" s="567">
        <v>3203.94</v>
      </c>
      <c r="E82" s="564">
        <v>76.12</v>
      </c>
      <c r="F82" s="567">
        <v>2438.84</v>
      </c>
      <c r="G82" s="564">
        <v>16.78</v>
      </c>
      <c r="H82" s="564">
        <v>537.62</v>
      </c>
      <c r="I82" s="564" t="s">
        <v>493</v>
      </c>
      <c r="J82" s="564" t="s">
        <v>493</v>
      </c>
      <c r="K82" s="564" t="s">
        <v>493</v>
      </c>
      <c r="L82" s="564" t="s">
        <v>493</v>
      </c>
      <c r="M82" s="564">
        <v>0.84</v>
      </c>
      <c r="N82" s="564">
        <v>26.8</v>
      </c>
      <c r="O82" s="564">
        <v>0.1</v>
      </c>
      <c r="P82" s="564">
        <v>3.26</v>
      </c>
      <c r="Q82" s="564" t="s">
        <v>493</v>
      </c>
      <c r="R82" s="564" t="s">
        <v>493</v>
      </c>
      <c r="S82" s="564">
        <v>6.09</v>
      </c>
      <c r="T82" s="564">
        <v>195.17</v>
      </c>
      <c r="U82" s="564">
        <v>0.18</v>
      </c>
      <c r="V82" s="564">
        <v>5.8</v>
      </c>
      <c r="W82" s="564">
        <v>100.11</v>
      </c>
      <c r="X82" s="567">
        <v>3207.49</v>
      </c>
      <c r="Y82" s="567">
        <v>6411.42</v>
      </c>
    </row>
    <row r="83" spans="1:25">
      <c r="A83" s="565" t="s">
        <v>570</v>
      </c>
      <c r="B83" s="564" t="s">
        <v>585</v>
      </c>
      <c r="C83" s="564" t="s">
        <v>35</v>
      </c>
      <c r="D83" s="567">
        <v>1926.61</v>
      </c>
      <c r="E83" s="564">
        <v>76.709999999999994</v>
      </c>
      <c r="F83" s="567">
        <v>1477.91</v>
      </c>
      <c r="G83" s="564">
        <v>27.91</v>
      </c>
      <c r="H83" s="564">
        <v>537.62</v>
      </c>
      <c r="I83" s="564">
        <v>0.99</v>
      </c>
      <c r="J83" s="564">
        <v>19.16</v>
      </c>
      <c r="K83" s="564" t="s">
        <v>493</v>
      </c>
      <c r="L83" s="564" t="s">
        <v>493</v>
      </c>
      <c r="M83" s="564">
        <v>5.37</v>
      </c>
      <c r="N83" s="564">
        <v>103.44</v>
      </c>
      <c r="O83" s="564">
        <v>0.18</v>
      </c>
      <c r="P83" s="564">
        <v>3.54</v>
      </c>
      <c r="Q83" s="564" t="s">
        <v>493</v>
      </c>
      <c r="R83" s="564"/>
      <c r="S83" s="564">
        <v>10.130000000000001</v>
      </c>
      <c r="T83" s="564">
        <v>195.17</v>
      </c>
      <c r="U83" s="564">
        <v>0.3</v>
      </c>
      <c r="V83" s="564">
        <v>5.8</v>
      </c>
      <c r="W83" s="564">
        <v>121.59</v>
      </c>
      <c r="X83" s="567">
        <v>2342.64</v>
      </c>
      <c r="Y83" s="567">
        <v>4269.25</v>
      </c>
    </row>
  </sheetData>
  <mergeCells count="43">
    <mergeCell ref="AE33:AE35"/>
    <mergeCell ref="AD33:AD35"/>
    <mergeCell ref="AC33:AC35"/>
    <mergeCell ref="AC36:AC43"/>
    <mergeCell ref="AD36:AD43"/>
    <mergeCell ref="AE36:AE43"/>
    <mergeCell ref="AF36:AF43"/>
    <mergeCell ref="AG36:AG43"/>
    <mergeCell ref="AF18:AF19"/>
    <mergeCell ref="AF33:AF35"/>
    <mergeCell ref="AG33:AG35"/>
    <mergeCell ref="AB20:AB21"/>
    <mergeCell ref="AB22:AB23"/>
    <mergeCell ref="AB24:AB27"/>
    <mergeCell ref="AB28:AB29"/>
    <mergeCell ref="AB18:AB19"/>
    <mergeCell ref="AC18:AC19"/>
    <mergeCell ref="AD18:AD19"/>
    <mergeCell ref="AE18:AE19"/>
    <mergeCell ref="W1:X2"/>
    <mergeCell ref="Y1:Y2"/>
    <mergeCell ref="AB12:AB14"/>
    <mergeCell ref="O2:P2"/>
    <mergeCell ref="Q2:R2"/>
    <mergeCell ref="S2:T2"/>
    <mergeCell ref="U2:V2"/>
    <mergeCell ref="G1:P1"/>
    <mergeCell ref="Q1:V1"/>
    <mergeCell ref="G2:H2"/>
    <mergeCell ref="I2:J2"/>
    <mergeCell ref="K2:L2"/>
    <mergeCell ref="M2:N2"/>
    <mergeCell ref="AF10:AG10"/>
    <mergeCell ref="AB10:AB11"/>
    <mergeCell ref="AC10:AC11"/>
    <mergeCell ref="AD10:AD11"/>
    <mergeCell ref="AE10:AE11"/>
    <mergeCell ref="F1:F3"/>
    <mergeCell ref="E1:E3"/>
    <mergeCell ref="D1:D3"/>
    <mergeCell ref="A1:A3"/>
    <mergeCell ref="B1:B3"/>
    <mergeCell ref="C1:C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AW25"/>
  <sheetViews>
    <sheetView tabSelected="1" topLeftCell="A4" zoomScale="80" zoomScaleNormal="80" workbookViewId="0">
      <selection activeCell="AB25" sqref="AB25"/>
    </sheetView>
  </sheetViews>
  <sheetFormatPr defaultRowHeight="12.75"/>
  <cols>
    <col min="1" max="1" width="2.7109375" style="205" customWidth="1"/>
    <col min="2" max="2" width="6.28515625" style="205" customWidth="1"/>
    <col min="3" max="3" width="85.5703125" style="205" customWidth="1"/>
    <col min="4" max="4" width="1.5703125" style="205" hidden="1" customWidth="1"/>
    <col min="5" max="29" width="3.42578125" style="205" customWidth="1"/>
    <col min="30" max="30" width="16" style="205" customWidth="1"/>
    <col min="31" max="32" width="16.42578125" style="205" customWidth="1"/>
    <col min="33" max="16384" width="9.140625" style="205"/>
  </cols>
  <sheetData>
    <row r="1" spans="2:49" ht="13.5" thickBot="1"/>
    <row r="2" spans="2:49" ht="15">
      <c r="B2" s="792" t="str">
        <f>DADOS!D27</f>
        <v>GESTÃO AMBIENTAL - BR-158/MT</v>
      </c>
      <c r="C2" s="793"/>
      <c r="D2" s="793"/>
      <c r="E2" s="793"/>
      <c r="F2" s="793"/>
      <c r="G2" s="793"/>
      <c r="H2" s="793"/>
      <c r="I2" s="793"/>
      <c r="J2" s="794"/>
      <c r="K2" s="794"/>
      <c r="L2" s="794"/>
      <c r="M2" s="794"/>
      <c r="N2" s="794"/>
      <c r="O2" s="794"/>
      <c r="P2" s="794"/>
      <c r="Q2" s="794"/>
      <c r="R2" s="794"/>
      <c r="S2" s="794"/>
      <c r="T2" s="794"/>
      <c r="U2" s="794"/>
      <c r="V2" s="794"/>
      <c r="W2" s="795"/>
      <c r="X2" s="795"/>
      <c r="Y2" s="795"/>
      <c r="Z2" s="795"/>
      <c r="AA2" s="795"/>
      <c r="AB2" s="795"/>
      <c r="AC2" s="795"/>
      <c r="AD2" s="796"/>
    </row>
    <row r="3" spans="2:49" ht="15" customHeight="1">
      <c r="B3" s="858" t="s">
        <v>236</v>
      </c>
      <c r="C3" s="859"/>
      <c r="D3" s="859"/>
      <c r="E3" s="859"/>
      <c r="F3" s="859"/>
      <c r="G3" s="859"/>
      <c r="H3" s="859"/>
      <c r="I3" s="859"/>
      <c r="J3" s="859"/>
      <c r="K3" s="859"/>
      <c r="L3" s="859"/>
      <c r="M3" s="859"/>
      <c r="N3" s="859"/>
      <c r="O3" s="859"/>
      <c r="P3" s="859"/>
      <c r="Q3" s="859"/>
      <c r="R3" s="859"/>
      <c r="S3" s="859"/>
      <c r="T3" s="859"/>
      <c r="U3" s="859"/>
      <c r="V3" s="859"/>
      <c r="W3" s="859"/>
      <c r="X3" s="859"/>
      <c r="Y3" s="859"/>
      <c r="Z3" s="859"/>
      <c r="AA3" s="859"/>
      <c r="AB3" s="859"/>
      <c r="AC3" s="860"/>
      <c r="AD3" s="206"/>
    </row>
    <row r="4" spans="2:49" ht="15" customHeight="1">
      <c r="B4" s="207" t="s">
        <v>192</v>
      </c>
      <c r="C4" s="208"/>
      <c r="D4" s="800" t="s">
        <v>306</v>
      </c>
      <c r="E4" s="800"/>
      <c r="F4" s="800"/>
      <c r="G4" s="800"/>
      <c r="H4" s="800"/>
      <c r="I4" s="800"/>
      <c r="J4" s="800"/>
      <c r="K4" s="800"/>
      <c r="L4" s="800"/>
      <c r="M4" s="800"/>
      <c r="N4" s="800"/>
      <c r="O4" s="800"/>
      <c r="P4" s="800"/>
      <c r="Q4" s="800"/>
      <c r="R4" s="800"/>
      <c r="S4" s="800"/>
      <c r="T4" s="800"/>
      <c r="U4" s="800"/>
      <c r="V4" s="800"/>
      <c r="W4" s="800"/>
      <c r="X4" s="800"/>
      <c r="Y4" s="800"/>
      <c r="Z4" s="800"/>
      <c r="AA4" s="800"/>
      <c r="AB4" s="800"/>
      <c r="AC4" s="800"/>
      <c r="AD4" s="847" t="s">
        <v>233</v>
      </c>
      <c r="AE4" s="801"/>
      <c r="AF4" s="801"/>
      <c r="AG4" s="801"/>
      <c r="AH4" s="802"/>
      <c r="AI4" s="802"/>
      <c r="AJ4" s="802"/>
      <c r="AK4" s="802"/>
      <c r="AL4" s="802"/>
      <c r="AM4" s="802"/>
      <c r="AN4" s="802"/>
      <c r="AO4" s="802"/>
      <c r="AP4" s="802"/>
      <c r="AQ4" s="802"/>
      <c r="AR4" s="802"/>
      <c r="AS4" s="802"/>
      <c r="AT4" s="802"/>
      <c r="AU4" s="802"/>
      <c r="AV4" s="802"/>
      <c r="AW4" s="802"/>
    </row>
    <row r="5" spans="2:49" ht="15" customHeight="1">
      <c r="B5" s="856" t="s">
        <v>403</v>
      </c>
      <c r="C5" s="857"/>
      <c r="D5" s="801" t="s">
        <v>405</v>
      </c>
      <c r="E5" s="801"/>
      <c r="F5" s="801"/>
      <c r="G5" s="801"/>
      <c r="H5" s="801"/>
      <c r="I5" s="801"/>
      <c r="J5" s="801"/>
      <c r="K5" s="801"/>
      <c r="L5" s="801"/>
      <c r="M5" s="801"/>
      <c r="N5" s="801"/>
      <c r="O5" s="801"/>
      <c r="P5" s="801"/>
      <c r="Q5" s="801"/>
      <c r="R5" s="801"/>
      <c r="S5" s="801"/>
      <c r="T5" s="801"/>
      <c r="U5" s="801"/>
      <c r="V5" s="801"/>
      <c r="W5" s="801"/>
      <c r="X5" s="801"/>
      <c r="Y5" s="801"/>
      <c r="Z5" s="801"/>
      <c r="AA5" s="801"/>
      <c r="AB5" s="801"/>
      <c r="AC5" s="801"/>
      <c r="AD5" s="848"/>
      <c r="AE5" s="801"/>
      <c r="AF5" s="801"/>
      <c r="AG5" s="801"/>
      <c r="AH5" s="802"/>
      <c r="AI5" s="802"/>
      <c r="AJ5" s="802"/>
      <c r="AK5" s="802"/>
      <c r="AL5" s="802"/>
      <c r="AM5" s="802"/>
      <c r="AN5" s="802"/>
      <c r="AO5" s="802"/>
      <c r="AP5" s="802"/>
      <c r="AQ5" s="802"/>
      <c r="AR5" s="802"/>
      <c r="AS5" s="802"/>
      <c r="AT5" s="802"/>
      <c r="AU5" s="802"/>
      <c r="AV5" s="802"/>
      <c r="AW5" s="802"/>
    </row>
    <row r="6" spans="2:49" ht="15" customHeight="1">
      <c r="B6" s="856" t="s">
        <v>680</v>
      </c>
      <c r="C6" s="857"/>
      <c r="D6" s="813" t="s">
        <v>404</v>
      </c>
      <c r="E6" s="813"/>
      <c r="F6" s="813"/>
      <c r="G6" s="813"/>
      <c r="H6" s="813"/>
      <c r="I6" s="813"/>
      <c r="J6" s="813"/>
      <c r="K6" s="813"/>
      <c r="L6" s="813"/>
      <c r="M6" s="813"/>
      <c r="N6" s="813"/>
      <c r="O6" s="813"/>
      <c r="P6" s="813"/>
      <c r="Q6" s="813"/>
      <c r="R6" s="813"/>
      <c r="S6" s="813"/>
      <c r="T6" s="813"/>
      <c r="U6" s="813"/>
      <c r="V6" s="813"/>
      <c r="W6" s="813"/>
      <c r="X6" s="813"/>
      <c r="Y6" s="813"/>
      <c r="Z6" s="813"/>
      <c r="AA6" s="813"/>
      <c r="AB6" s="813"/>
      <c r="AC6" s="813"/>
      <c r="AD6" s="849"/>
    </row>
    <row r="7" spans="2:49" ht="15" customHeight="1">
      <c r="B7" s="845" t="s">
        <v>49</v>
      </c>
      <c r="C7" s="846"/>
      <c r="D7" s="852" t="s">
        <v>679</v>
      </c>
      <c r="E7" s="852"/>
      <c r="F7" s="852"/>
      <c r="G7" s="852"/>
      <c r="H7" s="852"/>
      <c r="I7" s="852"/>
      <c r="J7" s="852"/>
      <c r="K7" s="852"/>
      <c r="L7" s="852"/>
      <c r="M7" s="852"/>
      <c r="N7" s="852"/>
      <c r="O7" s="852"/>
      <c r="P7" s="852"/>
      <c r="Q7" s="852"/>
      <c r="R7" s="852"/>
      <c r="S7" s="852"/>
      <c r="T7" s="852"/>
      <c r="U7" s="852"/>
      <c r="V7" s="852"/>
      <c r="W7" s="852"/>
      <c r="X7" s="852"/>
      <c r="Y7" s="852"/>
      <c r="Z7" s="852"/>
      <c r="AA7" s="852"/>
      <c r="AB7" s="852"/>
      <c r="AC7" s="852"/>
      <c r="AD7" s="850">
        <f>DADOS!E30</f>
        <v>43831</v>
      </c>
    </row>
    <row r="8" spans="2:49" ht="15" customHeight="1" thickBot="1">
      <c r="B8" s="541" t="s">
        <v>402</v>
      </c>
      <c r="C8" s="542"/>
      <c r="D8" s="801" t="s">
        <v>307</v>
      </c>
      <c r="E8" s="801"/>
      <c r="F8" s="801"/>
      <c r="G8" s="801"/>
      <c r="H8" s="801"/>
      <c r="I8" s="801"/>
      <c r="J8" s="801"/>
      <c r="K8" s="801"/>
      <c r="L8" s="801"/>
      <c r="M8" s="801"/>
      <c r="N8" s="801"/>
      <c r="O8" s="801"/>
      <c r="P8" s="801"/>
      <c r="Q8" s="801"/>
      <c r="R8" s="801"/>
      <c r="S8" s="801"/>
      <c r="T8" s="801"/>
      <c r="U8" s="801"/>
      <c r="V8" s="801"/>
      <c r="W8" s="801"/>
      <c r="X8" s="801"/>
      <c r="Y8" s="801"/>
      <c r="Z8" s="801"/>
      <c r="AA8" s="801"/>
      <c r="AB8" s="801"/>
      <c r="AC8" s="801"/>
      <c r="AD8" s="851"/>
    </row>
    <row r="9" spans="2:49" ht="12.75" customHeight="1">
      <c r="B9" s="841" t="s">
        <v>681</v>
      </c>
      <c r="C9" s="842"/>
      <c r="D9" s="853" t="s">
        <v>194</v>
      </c>
      <c r="E9" s="854"/>
      <c r="F9" s="854"/>
      <c r="G9" s="854"/>
      <c r="H9" s="854"/>
      <c r="I9" s="854"/>
      <c r="J9" s="854"/>
      <c r="K9" s="854"/>
      <c r="L9" s="854"/>
      <c r="M9" s="854"/>
      <c r="N9" s="854"/>
      <c r="O9" s="854"/>
      <c r="P9" s="854"/>
      <c r="Q9" s="854"/>
      <c r="R9" s="854"/>
      <c r="S9" s="854"/>
      <c r="T9" s="854"/>
      <c r="U9" s="854"/>
      <c r="V9" s="854"/>
      <c r="W9" s="854"/>
      <c r="X9" s="854"/>
      <c r="Y9" s="854"/>
      <c r="Z9" s="854"/>
      <c r="AA9" s="854"/>
      <c r="AB9" s="854"/>
      <c r="AC9" s="855"/>
      <c r="AD9" s="206"/>
    </row>
    <row r="10" spans="2:49" ht="27.75" customHeight="1" thickBot="1">
      <c r="B10" s="843"/>
      <c r="C10" s="844"/>
      <c r="D10" s="540"/>
      <c r="E10" s="214">
        <v>1</v>
      </c>
      <c r="F10" s="214">
        <v>2</v>
      </c>
      <c r="G10" s="214">
        <v>3</v>
      </c>
      <c r="H10" s="214">
        <v>4</v>
      </c>
      <c r="I10" s="214">
        <v>5</v>
      </c>
      <c r="J10" s="553">
        <v>6</v>
      </c>
      <c r="K10" s="553">
        <v>7</v>
      </c>
      <c r="L10" s="553">
        <v>8</v>
      </c>
      <c r="M10" s="553">
        <v>9</v>
      </c>
      <c r="N10" s="553">
        <v>10</v>
      </c>
      <c r="O10" s="553">
        <v>11</v>
      </c>
      <c r="P10" s="553">
        <v>12</v>
      </c>
      <c r="Q10" s="553">
        <v>13</v>
      </c>
      <c r="R10" s="553">
        <v>14</v>
      </c>
      <c r="S10" s="553">
        <v>15</v>
      </c>
      <c r="T10" s="553">
        <v>16</v>
      </c>
      <c r="U10" s="553">
        <v>17</v>
      </c>
      <c r="V10" s="553">
        <v>18</v>
      </c>
      <c r="W10" s="554">
        <v>19</v>
      </c>
      <c r="X10" s="554">
        <v>20</v>
      </c>
      <c r="Y10" s="554">
        <v>21</v>
      </c>
      <c r="Z10" s="554">
        <v>22</v>
      </c>
      <c r="AA10" s="554">
        <v>23</v>
      </c>
      <c r="AB10" s="554">
        <v>24</v>
      </c>
      <c r="AC10" s="558" t="s">
        <v>255</v>
      </c>
      <c r="AD10" s="334" t="s">
        <v>14</v>
      </c>
    </row>
    <row r="11" spans="2:49" ht="63.75" customHeight="1">
      <c r="B11" s="332">
        <v>1</v>
      </c>
      <c r="C11" s="543" t="s">
        <v>708</v>
      </c>
      <c r="D11" s="218"/>
      <c r="E11" s="387">
        <f>AD11/24</f>
        <v>254497.6018727847</v>
      </c>
      <c r="F11" s="387">
        <f>AD11/24</f>
        <v>254497.6018727847</v>
      </c>
      <c r="G11" s="387">
        <f>AD11/24</f>
        <v>254497.6018727847</v>
      </c>
      <c r="H11" s="387">
        <f>AD11/24</f>
        <v>254497.6018727847</v>
      </c>
      <c r="I11" s="387">
        <f>AD11/24</f>
        <v>254497.6018727847</v>
      </c>
      <c r="J11" s="387">
        <f>AD11/24</f>
        <v>254497.6018727847</v>
      </c>
      <c r="K11" s="387">
        <f>AD11/24</f>
        <v>254497.6018727847</v>
      </c>
      <c r="L11" s="387">
        <f>AD11/24</f>
        <v>254497.6018727847</v>
      </c>
      <c r="M11" s="387">
        <f>AD11/24</f>
        <v>254497.6018727847</v>
      </c>
      <c r="N11" s="387">
        <f>AD11/24</f>
        <v>254497.6018727847</v>
      </c>
      <c r="O11" s="387">
        <f>AD11/24</f>
        <v>254497.6018727847</v>
      </c>
      <c r="P11" s="387">
        <f>AD11/24</f>
        <v>254497.6018727847</v>
      </c>
      <c r="Q11" s="387">
        <f>AD11/24</f>
        <v>254497.6018727847</v>
      </c>
      <c r="R11" s="387">
        <f>AD11/24</f>
        <v>254497.6018727847</v>
      </c>
      <c r="S11" s="387">
        <f>AD11/24</f>
        <v>254497.6018727847</v>
      </c>
      <c r="T11" s="387">
        <f>AD11/24</f>
        <v>254497.6018727847</v>
      </c>
      <c r="U11" s="387">
        <f>AD11/24</f>
        <v>254497.6018727847</v>
      </c>
      <c r="V11" s="387">
        <f>AD11/24</f>
        <v>254497.6018727847</v>
      </c>
      <c r="W11" s="387">
        <f>AD11/24</f>
        <v>254497.6018727847</v>
      </c>
      <c r="X11" s="387">
        <f>AD11/24</f>
        <v>254497.6018727847</v>
      </c>
      <c r="Y11" s="387">
        <f>AD11/24</f>
        <v>254497.6018727847</v>
      </c>
      <c r="Z11" s="387">
        <f>AD11/24</f>
        <v>254497.6018727847</v>
      </c>
      <c r="AA11" s="387">
        <f>AD11/24</f>
        <v>254497.6018727847</v>
      </c>
      <c r="AB11" s="387">
        <f>AD11/24</f>
        <v>254497.6018727847</v>
      </c>
      <c r="AC11" s="388">
        <f>AD11/AD22</f>
        <v>0.32019782671090713</v>
      </c>
      <c r="AD11" s="224">
        <f>ORÇAMENTO!K12</f>
        <v>6107942.444946833</v>
      </c>
      <c r="AE11" s="533">
        <f>SUM(E11:AB11)</f>
        <v>6107942.4449468339</v>
      </c>
      <c r="AF11" s="534"/>
    </row>
    <row r="12" spans="2:49" ht="62.25" customHeight="1">
      <c r="B12" s="332">
        <v>2</v>
      </c>
      <c r="C12" s="538" t="s">
        <v>709</v>
      </c>
      <c r="D12" s="220"/>
      <c r="F12" s="387">
        <f>AD12/12</f>
        <v>291689.21838236647</v>
      </c>
      <c r="G12" s="387">
        <f>AD12/12</f>
        <v>291689.21838236647</v>
      </c>
      <c r="H12" s="387">
        <f>AD12/12</f>
        <v>291689.21838236647</v>
      </c>
      <c r="I12" s="387">
        <f>AD12/12</f>
        <v>291689.21838236647</v>
      </c>
      <c r="J12" s="387">
        <f>AD12/12</f>
        <v>291689.21838236647</v>
      </c>
      <c r="K12" s="387">
        <f>AD12/12</f>
        <v>291689.21838236647</v>
      </c>
      <c r="L12" s="387">
        <f>AD12/12</f>
        <v>291689.21838236647</v>
      </c>
      <c r="M12" s="387">
        <f>AD12/12</f>
        <v>291689.21838236647</v>
      </c>
      <c r="N12" s="387">
        <f>AD12/12</f>
        <v>291689.21838236647</v>
      </c>
      <c r="O12" s="387">
        <f>AD12/12</f>
        <v>291689.21838236647</v>
      </c>
      <c r="P12" s="387">
        <f>AD12/12</f>
        <v>291689.21838236647</v>
      </c>
      <c r="Q12" s="387">
        <f>AD12/12</f>
        <v>291689.21838236647</v>
      </c>
      <c r="S12" s="532"/>
      <c r="T12" s="391"/>
      <c r="U12" s="391"/>
      <c r="V12" s="391"/>
      <c r="W12" s="424"/>
      <c r="X12" s="424"/>
      <c r="Y12" s="424"/>
      <c r="Z12" s="424"/>
      <c r="AA12" s="424"/>
      <c r="AB12" s="424"/>
      <c r="AC12" s="389">
        <f>AD12/AD22</f>
        <v>0.18349535145663917</v>
      </c>
      <c r="AD12" s="283">
        <f>ORÇAMENTO!K15</f>
        <v>3500270.6205883976</v>
      </c>
      <c r="AE12" s="533">
        <f>SUM(F12:AB12)</f>
        <v>3500270.6205883976</v>
      </c>
    </row>
    <row r="13" spans="2:49" ht="57" customHeight="1">
      <c r="B13" s="332">
        <v>3</v>
      </c>
      <c r="C13" s="538" t="s">
        <v>682</v>
      </c>
      <c r="D13" s="220"/>
      <c r="E13" s="401"/>
      <c r="F13" s="401"/>
      <c r="G13" s="387">
        <f>AD13/4</f>
        <v>316835.74331357691</v>
      </c>
      <c r="H13" s="401"/>
      <c r="I13" s="401"/>
      <c r="J13" s="387">
        <f>AD13/4</f>
        <v>316835.74331357691</v>
      </c>
      <c r="K13" s="401"/>
      <c r="L13" s="401"/>
      <c r="M13" s="387">
        <f>AD13/4</f>
        <v>316835.74331357691</v>
      </c>
      <c r="N13" s="401"/>
      <c r="O13" s="401"/>
      <c r="P13" s="387">
        <f>AD13/4</f>
        <v>316835.74331357691</v>
      </c>
      <c r="Q13" s="401"/>
      <c r="R13" s="401"/>
      <c r="S13" s="401"/>
      <c r="T13" s="401"/>
      <c r="U13" s="401"/>
      <c r="V13" s="401"/>
      <c r="W13" s="401"/>
      <c r="X13" s="401"/>
      <c r="Y13" s="401"/>
      <c r="Z13" s="401"/>
      <c r="AA13" s="401"/>
      <c r="AB13" s="401"/>
      <c r="AC13" s="388">
        <f>AD13/AD22</f>
        <v>6.6438161359737721E-2</v>
      </c>
      <c r="AD13" s="283">
        <f>ORÇAMENTO!K19</f>
        <v>1267342.9732543076</v>
      </c>
      <c r="AE13" s="533">
        <f>SUM(E13:AB13)</f>
        <v>1267342.9732543076</v>
      </c>
    </row>
    <row r="14" spans="2:49" ht="57" customHeight="1">
      <c r="B14" s="332">
        <v>4</v>
      </c>
      <c r="C14" s="537" t="s">
        <v>710</v>
      </c>
      <c r="D14" s="220"/>
      <c r="F14" s="401"/>
      <c r="G14" s="387">
        <f>AD14/4</f>
        <v>84767.479650397625</v>
      </c>
      <c r="H14" s="401"/>
      <c r="J14" s="387">
        <f>AD14/4</f>
        <v>84767.479650397625</v>
      </c>
      <c r="L14" s="536"/>
      <c r="M14" s="387">
        <f>AD14/4</f>
        <v>84767.479650397625</v>
      </c>
      <c r="N14" s="401"/>
      <c r="O14" s="401"/>
      <c r="P14" s="387">
        <f>AD14/4</f>
        <v>84767.479650397625</v>
      </c>
      <c r="Q14" s="401"/>
      <c r="R14" s="401"/>
      <c r="S14" s="401"/>
      <c r="T14" s="401"/>
      <c r="U14" s="401"/>
      <c r="V14" s="401"/>
      <c r="W14" s="535"/>
      <c r="X14" s="535"/>
      <c r="Y14" s="535"/>
      <c r="Z14" s="535"/>
      <c r="AA14" s="425"/>
      <c r="AB14" s="425"/>
      <c r="AC14" s="388">
        <f>AD14/AD22</f>
        <v>1.7775126733404985E-2</v>
      </c>
      <c r="AD14" s="283">
        <f>ORÇAMENTO!K22</f>
        <v>339069.9186015905</v>
      </c>
      <c r="AE14" s="533">
        <f>SUM(E14:AB14)</f>
        <v>339069.9186015905</v>
      </c>
    </row>
    <row r="15" spans="2:49" ht="57.75" customHeight="1">
      <c r="B15" s="332">
        <v>5</v>
      </c>
      <c r="C15" s="538" t="s">
        <v>711</v>
      </c>
      <c r="D15" s="220"/>
      <c r="E15" s="536"/>
      <c r="F15" s="387">
        <f>AD15/12</f>
        <v>187203.50802873832</v>
      </c>
      <c r="G15" s="387">
        <f>AD15/12</f>
        <v>187203.50802873832</v>
      </c>
      <c r="H15" s="387">
        <f>AD15/12</f>
        <v>187203.50802873832</v>
      </c>
      <c r="I15" s="387">
        <f>AD15/12</f>
        <v>187203.50802873832</v>
      </c>
      <c r="J15" s="387">
        <f>AD15/12</f>
        <v>187203.50802873832</v>
      </c>
      <c r="K15" s="387">
        <f>AD15/12</f>
        <v>187203.50802873832</v>
      </c>
      <c r="L15" s="387">
        <f>AD15/12</f>
        <v>187203.50802873832</v>
      </c>
      <c r="M15" s="387">
        <f>AD15/12</f>
        <v>187203.50802873832</v>
      </c>
      <c r="N15" s="387">
        <f>AD15/12</f>
        <v>187203.50802873832</v>
      </c>
      <c r="O15" s="387">
        <f>AD15/12</f>
        <v>187203.50802873832</v>
      </c>
      <c r="P15" s="387">
        <f>AD15/12</f>
        <v>187203.50802873832</v>
      </c>
      <c r="Q15" s="387">
        <f>AD15/12</f>
        <v>187203.50802873832</v>
      </c>
      <c r="R15" s="390"/>
      <c r="S15" s="390"/>
      <c r="T15" s="390"/>
      <c r="U15" s="390"/>
      <c r="V15" s="390"/>
      <c r="W15" s="425"/>
      <c r="X15" s="425"/>
      <c r="Y15" s="425"/>
      <c r="Z15" s="425"/>
      <c r="AA15" s="425"/>
      <c r="AB15" s="425"/>
      <c r="AC15" s="388">
        <f>AD15/AD22</f>
        <v>0.1177656606238338</v>
      </c>
      <c r="AD15" s="283">
        <f>ORÇAMENTO!K27</f>
        <v>2246442.0963448598</v>
      </c>
      <c r="AE15" s="533">
        <f>SUM(F15:AB15)</f>
        <v>2246442.0963448593</v>
      </c>
      <c r="AG15" s="205">
        <f>22/3</f>
        <v>7.333333333333333</v>
      </c>
    </row>
    <row r="16" spans="2:49" ht="59.25" customHeight="1">
      <c r="B16" s="332">
        <v>6</v>
      </c>
      <c r="C16" s="537" t="s">
        <v>707</v>
      </c>
      <c r="D16" s="220"/>
      <c r="F16" s="401"/>
      <c r="I16" s="401"/>
      <c r="J16" s="387">
        <f>AD16/4</f>
        <v>129170.4105151159</v>
      </c>
      <c r="L16" s="401"/>
      <c r="M16" s="401"/>
      <c r="O16" s="401"/>
      <c r="P16" s="387">
        <f>AD16/4</f>
        <v>129170.4105151159</v>
      </c>
      <c r="R16" s="401"/>
      <c r="S16" s="696"/>
      <c r="T16" s="706"/>
      <c r="U16" s="696"/>
      <c r="V16" s="387">
        <f>AD16/4</f>
        <v>129170.4105151159</v>
      </c>
      <c r="W16" s="706"/>
      <c r="X16" s="696"/>
      <c r="Y16" s="696"/>
      <c r="Z16" s="696"/>
      <c r="AA16" s="696"/>
      <c r="AB16" s="387">
        <f>AD16/4</f>
        <v>129170.4105151159</v>
      </c>
      <c r="AC16" s="388">
        <f>AD16/AD22</f>
        <v>2.7086099841371926E-2</v>
      </c>
      <c r="AD16" s="283">
        <f>ORÇAMENTO!K30</f>
        <v>516681.64206046361</v>
      </c>
      <c r="AE16" s="533">
        <f>SUM(E16:AB16)</f>
        <v>516681.64206046361</v>
      </c>
    </row>
    <row r="17" spans="2:32" ht="66" customHeight="1">
      <c r="B17" s="332">
        <v>7</v>
      </c>
      <c r="C17" s="537" t="s">
        <v>712</v>
      </c>
      <c r="D17" s="220"/>
      <c r="E17" s="401"/>
      <c r="F17" s="387">
        <f>$AD$17/12</f>
        <v>407844.36017845385</v>
      </c>
      <c r="G17" s="387">
        <f t="shared" ref="G17:Q17" si="0">$AD$17/12</f>
        <v>407844.36017845385</v>
      </c>
      <c r="H17" s="387">
        <f t="shared" si="0"/>
        <v>407844.36017845385</v>
      </c>
      <c r="I17" s="387">
        <f t="shared" si="0"/>
        <v>407844.36017845385</v>
      </c>
      <c r="J17" s="387">
        <f t="shared" si="0"/>
        <v>407844.36017845385</v>
      </c>
      <c r="K17" s="387">
        <f t="shared" si="0"/>
        <v>407844.36017845385</v>
      </c>
      <c r="L17" s="387">
        <f t="shared" si="0"/>
        <v>407844.36017845385</v>
      </c>
      <c r="M17" s="387">
        <f t="shared" si="0"/>
        <v>407844.36017845385</v>
      </c>
      <c r="N17" s="387">
        <f t="shared" si="0"/>
        <v>407844.36017845385</v>
      </c>
      <c r="O17" s="387">
        <f t="shared" si="0"/>
        <v>407844.36017845385</v>
      </c>
      <c r="P17" s="387">
        <f t="shared" si="0"/>
        <v>407844.36017845385</v>
      </c>
      <c r="Q17" s="387">
        <f t="shared" si="0"/>
        <v>407844.36017845385</v>
      </c>
      <c r="R17" s="401"/>
      <c r="S17" s="401"/>
      <c r="T17" s="401"/>
      <c r="U17" s="401"/>
      <c r="V17" s="401"/>
      <c r="W17" s="535"/>
      <c r="X17" s="535"/>
      <c r="Y17" s="535"/>
      <c r="Z17" s="535"/>
      <c r="AA17" s="535"/>
      <c r="AB17" s="535"/>
      <c r="AC17" s="388">
        <f>AD17/AD22</f>
        <v>0.25656602813632717</v>
      </c>
      <c r="AD17" s="283">
        <f>ORÇAMENTO!K33</f>
        <v>4894132.3221414462</v>
      </c>
      <c r="AE17" s="533">
        <f>SUM(E17:AB17)</f>
        <v>4894132.3221414462</v>
      </c>
      <c r="AF17" s="217"/>
    </row>
    <row r="18" spans="2:32" ht="51" customHeight="1" thickBot="1">
      <c r="B18" s="707">
        <v>8</v>
      </c>
      <c r="C18" s="713" t="s">
        <v>688</v>
      </c>
      <c r="D18" s="708"/>
      <c r="E18" s="709"/>
      <c r="F18" s="709"/>
      <c r="G18" s="709"/>
      <c r="H18" s="709"/>
      <c r="I18" s="709"/>
      <c r="J18" s="709"/>
      <c r="K18" s="709"/>
      <c r="L18" s="709"/>
      <c r="M18" s="709"/>
      <c r="N18" s="709"/>
      <c r="O18" s="709"/>
      <c r="P18" s="710"/>
      <c r="Q18" s="709"/>
      <c r="R18" s="709"/>
      <c r="S18" s="709"/>
      <c r="T18" s="709"/>
      <c r="U18" s="709"/>
      <c r="V18" s="709"/>
      <c r="W18" s="711"/>
      <c r="X18" s="711"/>
      <c r="Y18" s="711"/>
      <c r="Z18" s="711"/>
      <c r="AA18" s="711"/>
      <c r="AB18" s="387">
        <f>AD18</f>
        <v>203645.4698280688</v>
      </c>
      <c r="AC18" s="388">
        <f>AD18/$AD$22</f>
        <v>1.0675745137778036E-2</v>
      </c>
      <c r="AD18" s="712">
        <f>ORÇAMENTO!K37</f>
        <v>203645.4698280688</v>
      </c>
      <c r="AE18" s="533">
        <f>SUM(E18:AB18)</f>
        <v>203645.4698280688</v>
      </c>
    </row>
    <row r="19" spans="2:32" ht="31.5" customHeight="1" thickBot="1">
      <c r="B19" s="547"/>
      <c r="C19" s="548"/>
      <c r="D19" s="549"/>
      <c r="E19" s="550"/>
      <c r="F19" s="550"/>
      <c r="G19" s="550"/>
      <c r="H19" s="550"/>
      <c r="I19" s="550"/>
      <c r="J19" s="550"/>
      <c r="K19" s="550"/>
      <c r="L19" s="550"/>
      <c r="M19" s="550"/>
      <c r="N19" s="550"/>
      <c r="O19" s="550"/>
      <c r="P19" s="550"/>
      <c r="Q19" s="550"/>
      <c r="R19" s="550"/>
      <c r="S19" s="550"/>
      <c r="T19" s="550"/>
      <c r="U19" s="550"/>
      <c r="V19" s="550"/>
      <c r="W19" s="550"/>
      <c r="X19" s="550"/>
      <c r="Y19" s="550"/>
      <c r="Z19" s="550"/>
      <c r="AA19" s="550"/>
      <c r="AB19" s="550"/>
      <c r="AC19" s="551">
        <f>SUM(AC11:AC18)</f>
        <v>0.99999999999999989</v>
      </c>
      <c r="AD19" s="552"/>
      <c r="AE19" s="284"/>
      <c r="AF19" s="227"/>
    </row>
    <row r="20" spans="2:32" ht="33.75" customHeight="1">
      <c r="B20" s="332"/>
      <c r="C20" s="539" t="s">
        <v>253</v>
      </c>
      <c r="D20" s="545"/>
      <c r="E20" s="546">
        <f>E22/AD22</f>
        <v>1.3341576112954463E-2</v>
      </c>
      <c r="F20" s="546">
        <f>F22/AD22</f>
        <v>5.9827162797687808E-2</v>
      </c>
      <c r="G20" s="546">
        <f>G22/AD22</f>
        <v>8.0880484820973486E-2</v>
      </c>
      <c r="H20" s="546">
        <f>H22/AD22</f>
        <v>5.9827162797687808E-2</v>
      </c>
      <c r="I20" s="546">
        <f>I22/AD22</f>
        <v>5.9827162797687808E-2</v>
      </c>
      <c r="J20" s="546">
        <f>J22/AD22</f>
        <v>8.7652009781316459E-2</v>
      </c>
      <c r="K20" s="546">
        <f>K22/AD22</f>
        <v>5.9827162797687808E-2</v>
      </c>
      <c r="L20" s="546">
        <f>L22/AD22</f>
        <v>5.9827162797687808E-2</v>
      </c>
      <c r="M20" s="546">
        <f>M22/AD22</f>
        <v>8.0880484820973486E-2</v>
      </c>
      <c r="N20" s="546">
        <f>N22/AD22</f>
        <v>5.9827162797687808E-2</v>
      </c>
      <c r="O20" s="546">
        <f>O22/AD22</f>
        <v>5.9827162797687808E-2</v>
      </c>
      <c r="P20" s="546">
        <f>P22/AD22</f>
        <v>8.7652009781316459E-2</v>
      </c>
      <c r="Q20" s="546">
        <f>Q22/AD22</f>
        <v>5.9827162797687808E-2</v>
      </c>
      <c r="R20" s="546">
        <f>R22/AD22</f>
        <v>1.3341576112954463E-2</v>
      </c>
      <c r="S20" s="546">
        <f>S22/AD22</f>
        <v>1.3341576112954463E-2</v>
      </c>
      <c r="T20" s="546">
        <f>T22/AD22</f>
        <v>1.3341576112954463E-2</v>
      </c>
      <c r="U20" s="546">
        <f>U22/AD22</f>
        <v>1.3341576112954463E-2</v>
      </c>
      <c r="V20" s="546">
        <f>V22/AD22</f>
        <v>2.0113101073297446E-2</v>
      </c>
      <c r="W20" s="546">
        <f>W22/AD22</f>
        <v>1.3341576112954463E-2</v>
      </c>
      <c r="X20" s="394">
        <f>X22/AD22</f>
        <v>1.3341576112954463E-2</v>
      </c>
      <c r="Y20" s="394">
        <f>Y22/AD22</f>
        <v>1.3341576112954463E-2</v>
      </c>
      <c r="Z20" s="394">
        <f>Z22/AD22</f>
        <v>1.3341576112954463E-2</v>
      </c>
      <c r="AA20" s="394">
        <f>AA22/AD22</f>
        <v>1.3341576112954463E-2</v>
      </c>
      <c r="AB20" s="394">
        <f>AB22/$AD$22</f>
        <v>3.0788846211075478E-2</v>
      </c>
      <c r="AC20" s="394"/>
      <c r="AD20" s="336">
        <f>SUM(E20:AB20)</f>
        <v>1.0000000000000004</v>
      </c>
      <c r="AE20" s="284"/>
      <c r="AF20" s="227"/>
    </row>
    <row r="21" spans="2:32" ht="39" customHeight="1">
      <c r="B21" s="229"/>
      <c r="C21" s="230" t="s">
        <v>254</v>
      </c>
      <c r="D21" s="220"/>
      <c r="E21" s="393">
        <f>E20</f>
        <v>1.3341576112954463E-2</v>
      </c>
      <c r="F21" s="393">
        <f>E21+F20</f>
        <v>7.3168738910642267E-2</v>
      </c>
      <c r="G21" s="393">
        <f>F21+G20</f>
        <v>0.15404922373161575</v>
      </c>
      <c r="H21" s="393">
        <f t="shared" ref="H21:U21" si="1">G21+H20</f>
        <v>0.21387638652930357</v>
      </c>
      <c r="I21" s="393">
        <f t="shared" si="1"/>
        <v>0.27370354932699137</v>
      </c>
      <c r="J21" s="393">
        <f t="shared" si="1"/>
        <v>0.36135555910830786</v>
      </c>
      <c r="K21" s="393">
        <f t="shared" si="1"/>
        <v>0.42118272190599565</v>
      </c>
      <c r="L21" s="393">
        <f t="shared" si="1"/>
        <v>0.48100988470368344</v>
      </c>
      <c r="M21" s="393">
        <f t="shared" si="1"/>
        <v>0.56189036952465687</v>
      </c>
      <c r="N21" s="393">
        <f t="shared" si="1"/>
        <v>0.62171753232234472</v>
      </c>
      <c r="O21" s="393">
        <f t="shared" si="1"/>
        <v>0.68154469512003257</v>
      </c>
      <c r="P21" s="393">
        <f t="shared" si="1"/>
        <v>0.76919670490134906</v>
      </c>
      <c r="Q21" s="393">
        <f t="shared" si="1"/>
        <v>0.82902386769903691</v>
      </c>
      <c r="R21" s="393">
        <f t="shared" si="1"/>
        <v>0.84236544381199141</v>
      </c>
      <c r="S21" s="393">
        <f t="shared" si="1"/>
        <v>0.85570701992494591</v>
      </c>
      <c r="T21" s="393">
        <f t="shared" si="1"/>
        <v>0.86904859603790041</v>
      </c>
      <c r="U21" s="393">
        <f t="shared" si="1"/>
        <v>0.88239017215085491</v>
      </c>
      <c r="V21" s="393">
        <f>U21+V20</f>
        <v>0.90250327322415236</v>
      </c>
      <c r="W21" s="393">
        <f t="shared" ref="W21:AB21" si="2">V21+W20</f>
        <v>0.91584484933710686</v>
      </c>
      <c r="X21" s="393">
        <f t="shared" si="2"/>
        <v>0.92918642545006136</v>
      </c>
      <c r="Y21" s="393">
        <f t="shared" si="2"/>
        <v>0.94252800156301586</v>
      </c>
      <c r="Z21" s="393">
        <f t="shared" si="2"/>
        <v>0.95586957767597036</v>
      </c>
      <c r="AA21" s="393">
        <f t="shared" si="2"/>
        <v>0.96921115378892486</v>
      </c>
      <c r="AB21" s="393">
        <f t="shared" si="2"/>
        <v>1.0000000000000004</v>
      </c>
      <c r="AC21" s="388"/>
      <c r="AD21" s="333"/>
      <c r="AE21" s="544">
        <f>SUM(AD11:AD18)</f>
        <v>19075527.487765968</v>
      </c>
      <c r="AF21" s="227"/>
    </row>
    <row r="22" spans="2:32" ht="63" customHeight="1" thickBot="1">
      <c r="B22" s="807" t="s">
        <v>212</v>
      </c>
      <c r="C22" s="808"/>
      <c r="D22" s="219"/>
      <c r="E22" s="395">
        <f t="shared" ref="E22:AA22" si="3">SUM(E11:E17)</f>
        <v>254497.6018727847</v>
      </c>
      <c r="F22" s="395">
        <f t="shared" si="3"/>
        <v>1141234.6884623433</v>
      </c>
      <c r="G22" s="395">
        <f t="shared" si="3"/>
        <v>1542837.9114263179</v>
      </c>
      <c r="H22" s="395">
        <f t="shared" si="3"/>
        <v>1141234.6884623433</v>
      </c>
      <c r="I22" s="395">
        <f t="shared" si="3"/>
        <v>1141234.6884623433</v>
      </c>
      <c r="J22" s="395">
        <f t="shared" si="3"/>
        <v>1672008.3219414337</v>
      </c>
      <c r="K22" s="395">
        <f t="shared" si="3"/>
        <v>1141234.6884623433</v>
      </c>
      <c r="L22" s="395">
        <f t="shared" si="3"/>
        <v>1141234.6884623433</v>
      </c>
      <c r="M22" s="395">
        <f t="shared" si="3"/>
        <v>1542837.9114263179</v>
      </c>
      <c r="N22" s="395">
        <f t="shared" si="3"/>
        <v>1141234.6884623433</v>
      </c>
      <c r="O22" s="395">
        <f t="shared" si="3"/>
        <v>1141234.6884623433</v>
      </c>
      <c r="P22" s="395">
        <f t="shared" si="3"/>
        <v>1672008.3219414337</v>
      </c>
      <c r="Q22" s="395">
        <f t="shared" si="3"/>
        <v>1141234.6884623433</v>
      </c>
      <c r="R22" s="395">
        <f t="shared" si="3"/>
        <v>254497.6018727847</v>
      </c>
      <c r="S22" s="395">
        <f t="shared" si="3"/>
        <v>254497.6018727847</v>
      </c>
      <c r="T22" s="395">
        <f t="shared" si="3"/>
        <v>254497.6018727847</v>
      </c>
      <c r="U22" s="395">
        <f t="shared" si="3"/>
        <v>254497.6018727847</v>
      </c>
      <c r="V22" s="395">
        <f t="shared" si="3"/>
        <v>383668.01238790061</v>
      </c>
      <c r="W22" s="395">
        <f t="shared" si="3"/>
        <v>254497.6018727847</v>
      </c>
      <c r="X22" s="395">
        <f t="shared" si="3"/>
        <v>254497.6018727847</v>
      </c>
      <c r="Y22" s="395">
        <f t="shared" si="3"/>
        <v>254497.6018727847</v>
      </c>
      <c r="Z22" s="395">
        <f t="shared" si="3"/>
        <v>254497.6018727847</v>
      </c>
      <c r="AA22" s="395">
        <f t="shared" si="3"/>
        <v>254497.6018727847</v>
      </c>
      <c r="AB22" s="395">
        <f>SUM(AB11:AB18)</f>
        <v>587313.48221596936</v>
      </c>
      <c r="AC22" s="395">
        <f>SUM(AC11:AC18)</f>
        <v>0.99999999999999989</v>
      </c>
      <c r="AD22" s="281">
        <f>ORÇAMENTO!K41</f>
        <v>19075527.487765968</v>
      </c>
      <c r="AE22" s="533">
        <f>SUM(E22:AB22)</f>
        <v>19075527.48776596</v>
      </c>
      <c r="AF22" s="217"/>
    </row>
    <row r="25" spans="2:32">
      <c r="D25" s="217"/>
      <c r="AE25" s="217"/>
    </row>
  </sheetData>
  <mergeCells count="17">
    <mergeCell ref="AE4:AW4"/>
    <mergeCell ref="AE5:AW5"/>
    <mergeCell ref="B2:AD2"/>
    <mergeCell ref="B5:C5"/>
    <mergeCell ref="B6:C6"/>
    <mergeCell ref="D6:AC6"/>
    <mergeCell ref="B3:AC3"/>
    <mergeCell ref="B22:C22"/>
    <mergeCell ref="B9:C10"/>
    <mergeCell ref="B7:C7"/>
    <mergeCell ref="AD4:AD6"/>
    <mergeCell ref="AD7:AD8"/>
    <mergeCell ref="D4:AC4"/>
    <mergeCell ref="D5:AC5"/>
    <mergeCell ref="D7:AC7"/>
    <mergeCell ref="D8:AC8"/>
    <mergeCell ref="D9:AC9"/>
  </mergeCells>
  <pageMargins left="0.51181102362204722" right="0.51181102362204722" top="0.78740157480314965" bottom="0.78740157480314965" header="0.31496062992125984" footer="0.31496062992125984"/>
  <pageSetup paperSize="9" scale="49" orientation="portrait" horizontalDpi="300" verticalDpi="300" r:id="rId1"/>
  <colBreaks count="1" manualBreakCount="1">
    <brk id="3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Q98"/>
  <sheetViews>
    <sheetView topLeftCell="A19" zoomScale="80" zoomScaleNormal="80" zoomScaleSheetLayoutView="100" workbookViewId="0">
      <selection activeCell="K41" sqref="K41"/>
    </sheetView>
  </sheetViews>
  <sheetFormatPr defaultColWidth="11.42578125" defaultRowHeight="12.75"/>
  <cols>
    <col min="1" max="1" width="2.42578125" customWidth="1"/>
    <col min="2" max="2" width="77.42578125" customWidth="1"/>
    <col min="3" max="3" width="9.85546875" customWidth="1"/>
    <col min="4" max="4" width="7.42578125" style="1" customWidth="1"/>
    <col min="5" max="5" width="10.7109375" hidden="1" customWidth="1"/>
    <col min="6" max="6" width="11.85546875" hidden="1" customWidth="1"/>
    <col min="7" max="7" width="16.5703125" style="1" customWidth="1"/>
    <col min="8" max="8" width="8.5703125" customWidth="1"/>
    <col min="9" max="9" width="11.140625" customWidth="1"/>
    <col min="10" max="10" width="18.28515625" customWidth="1"/>
    <col min="11" max="11" width="22" style="6" customWidth="1"/>
    <col min="12" max="12" width="16.42578125" customWidth="1"/>
    <col min="13" max="13" width="17.42578125" customWidth="1"/>
    <col min="14" max="14" width="17" customWidth="1"/>
    <col min="15" max="15" width="18.7109375" customWidth="1"/>
    <col min="16" max="16" width="12.42578125" customWidth="1"/>
    <col min="17" max="17" width="14.5703125" customWidth="1"/>
  </cols>
  <sheetData>
    <row r="1" spans="2:17" ht="13.5" thickBot="1"/>
    <row r="2" spans="2:17" ht="21" customHeight="1">
      <c r="B2" s="878" t="str">
        <f>DADOS!D27</f>
        <v>GESTÃO AMBIENTAL - BR-158/MT</v>
      </c>
      <c r="C2" s="879"/>
      <c r="D2" s="879"/>
      <c r="E2" s="879"/>
      <c r="F2" s="879"/>
      <c r="G2" s="879"/>
      <c r="H2" s="879"/>
      <c r="I2" s="879"/>
      <c r="J2" s="879"/>
      <c r="K2" s="880"/>
    </row>
    <row r="3" spans="2:17" ht="15" customHeight="1">
      <c r="B3" s="881" t="s">
        <v>213</v>
      </c>
      <c r="C3" s="882"/>
      <c r="D3" s="882"/>
      <c r="E3" s="882"/>
      <c r="F3" s="882"/>
      <c r="G3" s="882"/>
      <c r="H3" s="882"/>
      <c r="I3" s="882"/>
      <c r="J3" s="882"/>
      <c r="K3" s="721"/>
    </row>
    <row r="4" spans="2:17">
      <c r="B4" s="264">
        <f>DADOS!E30</f>
        <v>43831</v>
      </c>
      <c r="C4" s="773"/>
      <c r="D4" s="773"/>
      <c r="E4" s="773"/>
      <c r="F4" s="773"/>
      <c r="G4" s="773"/>
      <c r="H4" s="773"/>
      <c r="I4" s="773"/>
      <c r="J4" s="773"/>
      <c r="K4" s="883"/>
    </row>
    <row r="5" spans="2:17" s="2" customFormat="1" ht="39" customHeight="1">
      <c r="B5" s="325" t="s">
        <v>61</v>
      </c>
      <c r="C5" s="885"/>
      <c r="D5" s="886"/>
      <c r="E5" s="886"/>
      <c r="F5" s="886"/>
      <c r="G5" s="886"/>
      <c r="H5" s="887"/>
      <c r="I5" s="683" t="s">
        <v>48</v>
      </c>
      <c r="J5" s="683" t="s">
        <v>394</v>
      </c>
      <c r="K5" s="119" t="s">
        <v>71</v>
      </c>
    </row>
    <row r="6" spans="2:17" s="3" customFormat="1" ht="28.5" customHeight="1">
      <c r="B6" s="120"/>
      <c r="C6" s="869"/>
      <c r="D6" s="870"/>
      <c r="E6" s="870"/>
      <c r="F6" s="870"/>
      <c r="G6" s="870"/>
      <c r="H6" s="871"/>
      <c r="I6" s="121" t="s">
        <v>67</v>
      </c>
      <c r="J6" s="121" t="s">
        <v>393</v>
      </c>
      <c r="K6" s="119" t="s">
        <v>395</v>
      </c>
    </row>
    <row r="7" spans="2:17" ht="21.75" customHeight="1">
      <c r="B7" s="265" t="s">
        <v>410</v>
      </c>
      <c r="C7" s="872"/>
      <c r="D7" s="873"/>
      <c r="E7" s="873"/>
      <c r="F7" s="873"/>
      <c r="G7" s="873"/>
      <c r="H7" s="874"/>
      <c r="I7" s="270"/>
      <c r="J7" s="271"/>
      <c r="K7" s="272"/>
      <c r="M7" s="161"/>
      <c r="N7" s="221"/>
      <c r="P7" s="161"/>
    </row>
    <row r="8" spans="2:17">
      <c r="B8" s="884"/>
      <c r="C8" s="862"/>
      <c r="D8" s="862"/>
      <c r="E8" s="862"/>
      <c r="F8" s="862"/>
      <c r="G8" s="862"/>
      <c r="H8" s="862"/>
      <c r="I8" s="862"/>
      <c r="J8" s="862"/>
      <c r="K8" s="791"/>
      <c r="L8" s="342"/>
      <c r="M8" s="140"/>
    </row>
    <row r="9" spans="2:17">
      <c r="B9" s="77" t="s">
        <v>370</v>
      </c>
      <c r="C9" s="875"/>
      <c r="D9" s="876"/>
      <c r="E9" s="876"/>
      <c r="F9" s="876"/>
      <c r="G9" s="876"/>
      <c r="H9" s="877"/>
      <c r="I9" s="75"/>
      <c r="J9" s="146"/>
      <c r="K9" s="131"/>
      <c r="O9" s="161"/>
    </row>
    <row r="10" spans="2:17" ht="13.5" customHeight="1">
      <c r="B10" s="865"/>
      <c r="C10" s="862"/>
      <c r="D10" s="862"/>
      <c r="E10" s="862"/>
      <c r="F10" s="862"/>
      <c r="G10" s="862"/>
      <c r="H10" s="862"/>
      <c r="I10" s="862"/>
      <c r="J10" s="862"/>
      <c r="K10" s="791"/>
      <c r="N10" s="221"/>
    </row>
    <row r="11" spans="2:17" ht="21.75" customHeight="1">
      <c r="B11" s="374" t="s">
        <v>689</v>
      </c>
      <c r="C11" s="75"/>
      <c r="D11" s="682"/>
      <c r="E11" s="75"/>
      <c r="F11" s="75"/>
      <c r="G11" s="128"/>
      <c r="H11" s="75"/>
      <c r="I11" s="320" t="s">
        <v>48</v>
      </c>
      <c r="J11" s="320" t="s">
        <v>50</v>
      </c>
      <c r="K11" s="376" t="s">
        <v>166</v>
      </c>
      <c r="N11" s="221"/>
    </row>
    <row r="12" spans="2:17" ht="21.75" customHeight="1">
      <c r="B12" s="375" t="s">
        <v>695</v>
      </c>
      <c r="C12" s="75"/>
      <c r="D12" s="682"/>
      <c r="E12" s="75"/>
      <c r="F12" s="75"/>
      <c r="G12" s="128"/>
      <c r="H12" s="75"/>
      <c r="I12" s="90">
        <v>1</v>
      </c>
      <c r="J12" s="130">
        <f>PGA!K63</f>
        <v>6107942.444946833</v>
      </c>
      <c r="K12" s="519">
        <f>J12*I12</f>
        <v>6107942.444946833</v>
      </c>
      <c r="L12">
        <v>12</v>
      </c>
      <c r="N12" s="221"/>
    </row>
    <row r="13" spans="2:17">
      <c r="B13" s="861"/>
      <c r="C13" s="862"/>
      <c r="D13" s="862"/>
      <c r="E13" s="862"/>
      <c r="F13" s="862"/>
      <c r="G13" s="862"/>
      <c r="H13" s="862"/>
      <c r="I13" s="862"/>
      <c r="J13" s="862"/>
      <c r="K13" s="791"/>
      <c r="M13" s="161"/>
      <c r="N13" s="161"/>
      <c r="O13" s="161"/>
      <c r="P13" s="161"/>
      <c r="Q13" s="161"/>
    </row>
    <row r="14" spans="2:17">
      <c r="B14" s="139" t="s">
        <v>407</v>
      </c>
      <c r="C14" s="86"/>
      <c r="D14" s="69"/>
      <c r="E14" s="86"/>
      <c r="F14" s="86"/>
      <c r="G14" s="200"/>
      <c r="H14" s="87"/>
      <c r="I14" s="69" t="s">
        <v>48</v>
      </c>
      <c r="J14" s="69" t="s">
        <v>50</v>
      </c>
      <c r="K14" s="135" t="s">
        <v>166</v>
      </c>
      <c r="M14" s="161"/>
      <c r="N14" s="161"/>
      <c r="O14" s="161"/>
      <c r="P14" s="161"/>
      <c r="Q14" s="161"/>
    </row>
    <row r="15" spans="2:17">
      <c r="B15" s="681" t="s">
        <v>696</v>
      </c>
      <c r="C15" s="75"/>
      <c r="D15" s="682"/>
      <c r="E15" s="75"/>
      <c r="F15" s="75"/>
      <c r="G15" s="128"/>
      <c r="H15" s="75"/>
      <c r="I15" s="90">
        <v>1</v>
      </c>
      <c r="J15" s="201">
        <f>PAC!I60</f>
        <v>3500270.6205883976</v>
      </c>
      <c r="K15" s="160">
        <f>J15*I15</f>
        <v>3500270.6205883976</v>
      </c>
      <c r="L15">
        <v>15</v>
      </c>
      <c r="N15" s="161"/>
      <c r="O15" s="161"/>
      <c r="P15" s="161"/>
      <c r="Q15" s="161"/>
    </row>
    <row r="16" spans="2:17">
      <c r="B16" s="864"/>
      <c r="C16" s="862"/>
      <c r="D16" s="862"/>
      <c r="E16" s="862"/>
      <c r="F16" s="862"/>
      <c r="G16" s="862"/>
      <c r="H16" s="862"/>
      <c r="I16" s="862"/>
      <c r="J16" s="862"/>
      <c r="K16" s="791"/>
    </row>
    <row r="17" spans="2:17">
      <c r="B17" s="864"/>
      <c r="C17" s="862"/>
      <c r="D17" s="862"/>
      <c r="E17" s="862"/>
      <c r="F17" s="862"/>
      <c r="G17" s="862"/>
      <c r="H17" s="862"/>
      <c r="I17" s="862"/>
      <c r="J17" s="862"/>
      <c r="K17" s="791"/>
    </row>
    <row r="18" spans="2:17">
      <c r="B18" s="139" t="s">
        <v>408</v>
      </c>
      <c r="C18" s="86"/>
      <c r="D18" s="69"/>
      <c r="E18" s="86"/>
      <c r="F18" s="86"/>
      <c r="G18" s="200"/>
      <c r="H18" s="87"/>
      <c r="I18" s="69" t="s">
        <v>48</v>
      </c>
      <c r="J18" s="69" t="s">
        <v>50</v>
      </c>
      <c r="K18" s="135" t="s">
        <v>166</v>
      </c>
      <c r="M18" s="161"/>
    </row>
    <row r="19" spans="2:17">
      <c r="B19" s="681" t="s">
        <v>697</v>
      </c>
      <c r="C19" s="75"/>
      <c r="D19" s="682"/>
      <c r="E19" s="75"/>
      <c r="F19" s="75"/>
      <c r="G19" s="128"/>
      <c r="H19" s="75"/>
      <c r="I19" s="90">
        <v>1</v>
      </c>
      <c r="J19" s="201">
        <f>PPEPP!I49</f>
        <v>1267342.9732543076</v>
      </c>
      <c r="K19" s="160">
        <f>J19*I19</f>
        <v>1267342.9732543076</v>
      </c>
      <c r="L19">
        <v>19</v>
      </c>
      <c r="M19" s="161"/>
      <c r="N19" s="161"/>
      <c r="O19" s="161"/>
      <c r="P19" s="161"/>
      <c r="Q19" s="161"/>
    </row>
    <row r="20" spans="2:17">
      <c r="B20" s="861"/>
      <c r="C20" s="862"/>
      <c r="D20" s="862"/>
      <c r="E20" s="862"/>
      <c r="F20" s="862"/>
      <c r="G20" s="862"/>
      <c r="H20" s="862"/>
      <c r="I20" s="862"/>
      <c r="J20" s="862"/>
      <c r="K20" s="791"/>
      <c r="M20" s="161"/>
      <c r="N20" s="161"/>
      <c r="O20" s="161"/>
      <c r="P20" s="161"/>
      <c r="Q20" s="161"/>
    </row>
    <row r="21" spans="2:17">
      <c r="B21" s="139" t="s">
        <v>691</v>
      </c>
      <c r="C21" s="86"/>
      <c r="D21" s="69"/>
      <c r="E21" s="86"/>
      <c r="F21" s="86"/>
      <c r="G21" s="200"/>
      <c r="H21" s="87"/>
      <c r="I21" s="69" t="s">
        <v>48</v>
      </c>
      <c r="J21" s="69" t="s">
        <v>50</v>
      </c>
      <c r="K21" s="135" t="s">
        <v>166</v>
      </c>
      <c r="M21" s="161"/>
      <c r="N21" s="161"/>
      <c r="O21" s="161"/>
      <c r="P21" s="161"/>
      <c r="Q21" s="161"/>
    </row>
    <row r="22" spans="2:17">
      <c r="B22" s="681" t="s">
        <v>698</v>
      </c>
      <c r="C22" s="75"/>
      <c r="D22" s="682"/>
      <c r="E22" s="75"/>
      <c r="F22" s="75"/>
      <c r="G22" s="128"/>
      <c r="H22" s="75"/>
      <c r="I22" s="90">
        <v>4</v>
      </c>
      <c r="J22" s="201">
        <f>PMCH!I58</f>
        <v>84767.479650397625</v>
      </c>
      <c r="K22" s="160">
        <f>J22*I22</f>
        <v>339069.9186015905</v>
      </c>
      <c r="L22">
        <v>22</v>
      </c>
      <c r="N22" s="161"/>
      <c r="O22" s="161"/>
      <c r="P22" s="161"/>
      <c r="Q22" s="161"/>
    </row>
    <row r="23" spans="2:17">
      <c r="B23" s="864"/>
      <c r="C23" s="862"/>
      <c r="D23" s="862"/>
      <c r="E23" s="862"/>
      <c r="F23" s="862"/>
      <c r="G23" s="862"/>
      <c r="H23" s="862"/>
      <c r="I23" s="862"/>
      <c r="J23" s="862"/>
      <c r="K23" s="791"/>
      <c r="L23" s="8"/>
    </row>
    <row r="24" spans="2:17" ht="25.5" customHeight="1">
      <c r="B24" s="139" t="s">
        <v>692</v>
      </c>
      <c r="C24" s="86"/>
      <c r="D24" s="69"/>
      <c r="E24" s="86"/>
      <c r="F24" s="86"/>
      <c r="G24" s="200"/>
      <c r="H24" s="87"/>
      <c r="I24" s="69" t="s">
        <v>48</v>
      </c>
      <c r="J24" s="69" t="s">
        <v>50</v>
      </c>
      <c r="K24" s="135" t="s">
        <v>166</v>
      </c>
      <c r="M24" s="161"/>
    </row>
    <row r="25" spans="2:17">
      <c r="B25" s="139" t="s">
        <v>693</v>
      </c>
      <c r="C25" s="86"/>
      <c r="D25" s="69"/>
      <c r="E25" s="86"/>
      <c r="F25" s="86"/>
      <c r="G25" s="200"/>
      <c r="H25" s="87"/>
      <c r="I25" s="69"/>
      <c r="J25" s="201">
        <f>PPFF_RESGBMF!I57</f>
        <v>1779671.4681863131</v>
      </c>
      <c r="K25" s="135"/>
      <c r="M25" s="161"/>
    </row>
    <row r="26" spans="2:17">
      <c r="B26" s="139" t="s">
        <v>694</v>
      </c>
      <c r="C26" s="86"/>
      <c r="D26" s="69"/>
      <c r="E26" s="86"/>
      <c r="F26" s="86"/>
      <c r="G26" s="200"/>
      <c r="H26" s="87"/>
      <c r="I26" s="69"/>
      <c r="J26" s="201">
        <f>PPFF_SBPCSV!I46</f>
        <v>466770.62815854675</v>
      </c>
      <c r="K26" s="135"/>
      <c r="M26" s="161"/>
    </row>
    <row r="27" spans="2:17">
      <c r="B27" s="681" t="s">
        <v>699</v>
      </c>
      <c r="C27" s="75"/>
      <c r="D27" s="682"/>
      <c r="E27" s="75"/>
      <c r="F27" s="75"/>
      <c r="G27" s="128"/>
      <c r="H27" s="75"/>
      <c r="I27" s="90">
        <v>1</v>
      </c>
      <c r="J27" s="201">
        <f>SUM(J25:J26)</f>
        <v>2246442.0963448598</v>
      </c>
      <c r="K27" s="160">
        <f>J27*I27</f>
        <v>2246442.0963448598</v>
      </c>
      <c r="M27" s="161"/>
    </row>
    <row r="28" spans="2:17">
      <c r="B28" s="864"/>
      <c r="C28" s="862"/>
      <c r="D28" s="862"/>
      <c r="E28" s="862"/>
      <c r="F28" s="862"/>
      <c r="G28" s="862"/>
      <c r="H28" s="862"/>
      <c r="I28" s="862"/>
      <c r="J28" s="862"/>
      <c r="K28" s="791"/>
      <c r="L28">
        <v>28</v>
      </c>
      <c r="M28" s="161"/>
      <c r="N28" s="161"/>
      <c r="O28" s="161"/>
      <c r="P28" s="161"/>
      <c r="Q28" s="161"/>
    </row>
    <row r="29" spans="2:17">
      <c r="B29" s="139" t="s">
        <v>702</v>
      </c>
      <c r="C29" s="86"/>
      <c r="D29" s="69"/>
      <c r="E29" s="86"/>
      <c r="F29" s="86"/>
      <c r="G29" s="200"/>
      <c r="H29" s="87"/>
      <c r="I29" s="69" t="s">
        <v>48</v>
      </c>
      <c r="J29" s="69" t="s">
        <v>50</v>
      </c>
      <c r="K29" s="135" t="s">
        <v>166</v>
      </c>
      <c r="L29" s="8"/>
      <c r="M29" s="161"/>
      <c r="N29" s="161"/>
      <c r="O29" s="161"/>
      <c r="P29" s="161"/>
      <c r="Q29" s="161"/>
    </row>
    <row r="30" spans="2:17">
      <c r="B30" s="681" t="s">
        <v>700</v>
      </c>
      <c r="C30" s="75"/>
      <c r="D30" s="682"/>
      <c r="E30" s="75"/>
      <c r="F30" s="75"/>
      <c r="G30" s="128"/>
      <c r="H30" s="75"/>
      <c r="I30" s="90">
        <v>4</v>
      </c>
      <c r="J30" s="201">
        <f>PCSEA!I63</f>
        <v>129170.4105151159</v>
      </c>
      <c r="K30" s="160">
        <f>J30*I30</f>
        <v>516681.64206046361</v>
      </c>
      <c r="L30" s="8"/>
      <c r="M30" s="161"/>
      <c r="N30" s="161"/>
      <c r="O30" s="161"/>
      <c r="P30" s="161"/>
      <c r="Q30" s="161"/>
    </row>
    <row r="31" spans="2:17">
      <c r="B31" s="680"/>
      <c r="C31" s="312"/>
      <c r="D31" s="679"/>
      <c r="E31" s="312"/>
      <c r="F31" s="312"/>
      <c r="G31" s="313"/>
      <c r="H31" s="312"/>
      <c r="I31" s="314"/>
      <c r="J31" s="315"/>
      <c r="K31" s="316"/>
      <c r="L31">
        <v>31</v>
      </c>
      <c r="M31" s="161"/>
      <c r="N31" s="161"/>
      <c r="O31" s="161"/>
      <c r="P31" s="161"/>
      <c r="Q31" s="161"/>
    </row>
    <row r="32" spans="2:17">
      <c r="B32" s="524" t="s">
        <v>703</v>
      </c>
      <c r="C32" s="75"/>
      <c r="D32" s="682"/>
      <c r="E32" s="75"/>
      <c r="F32" s="75"/>
      <c r="G32" s="128"/>
      <c r="H32" s="75"/>
      <c r="I32" s="319" t="s">
        <v>246</v>
      </c>
      <c r="J32" s="317" t="s">
        <v>247</v>
      </c>
      <c r="K32" s="525" t="s">
        <v>248</v>
      </c>
      <c r="M32" s="161"/>
      <c r="N32" s="161"/>
      <c r="O32" s="161"/>
      <c r="P32" s="161"/>
      <c r="Q32" s="161"/>
    </row>
    <row r="33" spans="2:17">
      <c r="B33" s="681" t="s">
        <v>701</v>
      </c>
      <c r="C33" s="75"/>
      <c r="D33" s="682"/>
      <c r="E33" s="75"/>
      <c r="F33" s="75"/>
      <c r="G33" s="128"/>
      <c r="H33" s="75"/>
      <c r="I33" s="90">
        <v>2</v>
      </c>
      <c r="J33" s="201">
        <f>PARQUEO!I58</f>
        <v>2447066.1610707231</v>
      </c>
      <c r="K33" s="160">
        <f>J33*I33</f>
        <v>4894132.3221414462</v>
      </c>
      <c r="M33" s="161"/>
      <c r="N33" s="161"/>
      <c r="O33" s="161"/>
      <c r="P33" s="161"/>
      <c r="Q33" s="161"/>
    </row>
    <row r="34" spans="2:17">
      <c r="B34" s="680"/>
      <c r="C34" s="312"/>
      <c r="D34" s="679"/>
      <c r="E34" s="312"/>
      <c r="F34" s="312"/>
      <c r="G34" s="313"/>
      <c r="H34" s="312"/>
      <c r="I34" s="314"/>
      <c r="J34" s="315"/>
      <c r="K34" s="316"/>
      <c r="M34" s="161"/>
      <c r="N34" s="161"/>
      <c r="O34" s="161"/>
      <c r="P34" s="161"/>
      <c r="Q34" s="161"/>
    </row>
    <row r="35" spans="2:17">
      <c r="B35" s="681"/>
      <c r="C35" s="75"/>
      <c r="D35" s="698"/>
      <c r="E35" s="75"/>
      <c r="F35" s="75"/>
      <c r="G35" s="128"/>
      <c r="H35" s="75"/>
      <c r="I35" s="90"/>
      <c r="J35" s="201"/>
      <c r="K35" s="160"/>
      <c r="M35" s="161"/>
      <c r="N35" s="161"/>
      <c r="O35" s="161"/>
      <c r="P35" s="161"/>
      <c r="Q35" s="161"/>
    </row>
    <row r="36" spans="2:17">
      <c r="B36" s="524" t="s">
        <v>704</v>
      </c>
      <c r="C36" s="75"/>
      <c r="D36" s="698"/>
      <c r="E36" s="75"/>
      <c r="F36" s="75"/>
      <c r="G36" s="128"/>
      <c r="H36" s="75"/>
      <c r="I36" s="319" t="s">
        <v>48</v>
      </c>
      <c r="J36" s="317" t="s">
        <v>50</v>
      </c>
      <c r="K36" s="652" t="s">
        <v>166</v>
      </c>
      <c r="M36" s="161"/>
      <c r="N36" s="161"/>
      <c r="O36" s="161"/>
      <c r="P36" s="161"/>
      <c r="Q36" s="161"/>
    </row>
    <row r="37" spans="2:17">
      <c r="B37" s="681" t="s">
        <v>705</v>
      </c>
      <c r="C37" s="75"/>
      <c r="D37" s="698"/>
      <c r="E37" s="75"/>
      <c r="F37" s="75"/>
      <c r="G37" s="128"/>
      <c r="H37" s="75"/>
      <c r="I37" s="90">
        <v>1</v>
      </c>
      <c r="J37" s="201">
        <f>ASS!I50</f>
        <v>203645.4698280688</v>
      </c>
      <c r="K37" s="160">
        <f>J37*I37</f>
        <v>203645.4698280688</v>
      </c>
      <c r="L37">
        <v>38</v>
      </c>
      <c r="M37" s="161"/>
      <c r="N37" s="161"/>
      <c r="O37" s="161"/>
      <c r="P37" s="161"/>
      <c r="Q37" s="161"/>
    </row>
    <row r="38" spans="2:17" ht="13.5" thickBot="1">
      <c r="B38" s="681"/>
      <c r="C38" s="75"/>
      <c r="D38" s="682"/>
      <c r="E38" s="75"/>
      <c r="F38" s="75"/>
      <c r="G38" s="128"/>
      <c r="H38" s="75"/>
      <c r="I38" s="90"/>
      <c r="J38" s="201"/>
      <c r="K38" s="160"/>
      <c r="M38" s="161"/>
      <c r="N38" s="161"/>
      <c r="O38" s="161"/>
      <c r="P38" s="161"/>
      <c r="Q38" s="161"/>
    </row>
    <row r="39" spans="2:17" ht="13.5" thickBot="1">
      <c r="B39" s="866" t="s">
        <v>399</v>
      </c>
      <c r="C39" s="867"/>
      <c r="D39" s="868"/>
      <c r="E39" s="75"/>
      <c r="F39" s="75"/>
      <c r="G39" s="128"/>
      <c r="H39" s="75"/>
      <c r="I39" s="90"/>
      <c r="J39" s="526"/>
      <c r="K39" s="527">
        <f>K12+K15+K19+K22+K27+K30+K33+K37</f>
        <v>19075527.487765968</v>
      </c>
      <c r="M39" s="161"/>
      <c r="N39" s="161"/>
      <c r="O39" s="161"/>
      <c r="P39" s="161"/>
      <c r="Q39" s="161"/>
    </row>
    <row r="40" spans="2:17" ht="13.5" thickBot="1">
      <c r="B40" s="861"/>
      <c r="C40" s="862"/>
      <c r="D40" s="862"/>
      <c r="E40" s="862"/>
      <c r="F40" s="862"/>
      <c r="G40" s="862"/>
      <c r="H40" s="862"/>
      <c r="I40" s="862"/>
      <c r="J40" s="862"/>
      <c r="K40" s="863"/>
      <c r="M40" s="161"/>
      <c r="N40" s="161"/>
      <c r="O40" s="161"/>
      <c r="P40" s="161"/>
      <c r="Q40" s="161"/>
    </row>
    <row r="41" spans="2:17" ht="13.5" thickBot="1">
      <c r="B41" s="77" t="s">
        <v>187</v>
      </c>
      <c r="C41" s="76"/>
      <c r="D41" s="678"/>
      <c r="E41" s="76"/>
      <c r="F41" s="76"/>
      <c r="G41" s="122"/>
      <c r="H41" s="76"/>
      <c r="I41" s="127"/>
      <c r="J41" s="691"/>
      <c r="K41" s="692">
        <f>K39</f>
        <v>19075527.487765968</v>
      </c>
      <c r="M41" s="161"/>
      <c r="N41" s="161"/>
      <c r="O41" s="161"/>
      <c r="P41" s="161"/>
      <c r="Q41" s="161"/>
    </row>
    <row r="42" spans="2:17">
      <c r="B42" s="154"/>
      <c r="C42" s="110"/>
      <c r="D42" s="89"/>
      <c r="E42" s="110"/>
      <c r="F42" s="110"/>
      <c r="G42" s="136"/>
      <c r="H42" s="110"/>
      <c r="I42" s="110"/>
      <c r="J42" s="110"/>
      <c r="K42" s="137"/>
      <c r="L42">
        <v>43</v>
      </c>
    </row>
    <row r="43" spans="2:17">
      <c r="B43" s="154" t="s">
        <v>371</v>
      </c>
      <c r="C43" s="110"/>
      <c r="D43" s="89"/>
      <c r="E43" s="110"/>
      <c r="F43" s="110"/>
      <c r="G43" s="136"/>
      <c r="H43" s="110"/>
      <c r="I43" s="110"/>
      <c r="J43" s="110"/>
      <c r="K43" s="137"/>
      <c r="L43" s="8"/>
    </row>
    <row r="44" spans="2:17" ht="16.5" customHeight="1">
      <c r="B44" s="153" t="s">
        <v>678</v>
      </c>
      <c r="C44" s="110"/>
      <c r="D44" s="89"/>
      <c r="E44" s="110"/>
      <c r="F44" s="110"/>
      <c r="G44" s="136"/>
      <c r="H44" s="110"/>
      <c r="I44" s="110"/>
      <c r="J44" s="110"/>
      <c r="K44" s="137"/>
      <c r="L44" s="161"/>
    </row>
    <row r="45" spans="2:17" ht="8.25" customHeight="1" thickBot="1">
      <c r="B45" s="687"/>
      <c r="C45" s="184"/>
      <c r="D45" s="688"/>
      <c r="E45" s="184"/>
      <c r="F45" s="184"/>
      <c r="G45" s="689"/>
      <c r="H45" s="184"/>
      <c r="I45" s="184"/>
      <c r="J45" s="184"/>
      <c r="K45" s="690"/>
    </row>
    <row r="46" spans="2:17" ht="15.75" customHeight="1">
      <c r="C46" s="140"/>
      <c r="G46" s="5"/>
    </row>
    <row r="47" spans="2:17" ht="15.75" customHeight="1">
      <c r="G47" s="5"/>
      <c r="J47" s="140"/>
    </row>
    <row r="48" spans="2:17" ht="10.5" customHeight="1">
      <c r="G48" s="5"/>
      <c r="J48" s="140"/>
    </row>
    <row r="49" spans="4:13">
      <c r="G49" s="5"/>
      <c r="M49" s="311"/>
    </row>
    <row r="50" spans="4:13">
      <c r="G50" s="5"/>
      <c r="L50" s="140"/>
      <c r="M50" s="311"/>
    </row>
    <row r="51" spans="4:13">
      <c r="G51" s="5"/>
      <c r="L51" s="140"/>
    </row>
    <row r="52" spans="4:13">
      <c r="G52" s="5"/>
    </row>
    <row r="53" spans="4:13">
      <c r="G53" s="5"/>
    </row>
    <row r="54" spans="4:13">
      <c r="G54" s="5"/>
    </row>
    <row r="55" spans="4:13">
      <c r="G55" s="5"/>
    </row>
    <row r="56" spans="4:13">
      <c r="G56" s="5"/>
    </row>
    <row r="57" spans="4:13">
      <c r="G57" s="5"/>
    </row>
    <row r="58" spans="4:13">
      <c r="G58" s="5"/>
    </row>
    <row r="59" spans="4:13">
      <c r="D59"/>
      <c r="G59" s="5"/>
      <c r="K59"/>
    </row>
    <row r="60" spans="4:13">
      <c r="D60"/>
      <c r="G60" s="5"/>
      <c r="K60"/>
    </row>
    <row r="61" spans="4:13">
      <c r="D61"/>
      <c r="G61" s="5"/>
      <c r="K61"/>
    </row>
    <row r="62" spans="4:13">
      <c r="D62"/>
      <c r="G62" s="5"/>
      <c r="K62"/>
    </row>
    <row r="63" spans="4:13">
      <c r="D63"/>
      <c r="G63" s="5"/>
      <c r="K63"/>
    </row>
    <row r="64" spans="4:13">
      <c r="D64"/>
      <c r="G64" s="5"/>
      <c r="K64"/>
    </row>
    <row r="65" spans="4:11">
      <c r="D65"/>
      <c r="G65" s="5"/>
      <c r="K65"/>
    </row>
    <row r="66" spans="4:11">
      <c r="D66"/>
      <c r="G66" s="5"/>
      <c r="K66"/>
    </row>
    <row r="67" spans="4:11">
      <c r="D67"/>
      <c r="G67" s="5"/>
      <c r="K67"/>
    </row>
    <row r="68" spans="4:11">
      <c r="D68"/>
      <c r="G68" s="5"/>
      <c r="K68"/>
    </row>
    <row r="69" spans="4:11">
      <c r="D69"/>
      <c r="G69" s="5"/>
      <c r="K69"/>
    </row>
    <row r="70" spans="4:11">
      <c r="D70"/>
      <c r="G70" s="5"/>
      <c r="K70"/>
    </row>
    <row r="71" spans="4:11">
      <c r="D71"/>
      <c r="G71" s="5"/>
      <c r="K71"/>
    </row>
    <row r="72" spans="4:11">
      <c r="D72"/>
      <c r="G72" s="5"/>
      <c r="K72"/>
    </row>
    <row r="73" spans="4:11">
      <c r="D73"/>
      <c r="G73" s="5"/>
      <c r="K73"/>
    </row>
    <row r="74" spans="4:11">
      <c r="D74"/>
      <c r="G74" s="5"/>
      <c r="K74"/>
    </row>
    <row r="75" spans="4:11">
      <c r="D75"/>
      <c r="G75" s="5"/>
      <c r="K75"/>
    </row>
    <row r="76" spans="4:11">
      <c r="D76"/>
      <c r="G76" s="5"/>
      <c r="K76"/>
    </row>
    <row r="77" spans="4:11">
      <c r="D77"/>
      <c r="G77" s="5"/>
      <c r="K77"/>
    </row>
    <row r="78" spans="4:11">
      <c r="D78"/>
      <c r="G78" s="5"/>
      <c r="K78"/>
    </row>
    <row r="79" spans="4:11">
      <c r="D79"/>
      <c r="G79" s="5"/>
      <c r="K79"/>
    </row>
    <row r="80" spans="4:11">
      <c r="D80"/>
      <c r="G80" s="5"/>
      <c r="K80"/>
    </row>
    <row r="81" spans="4:11">
      <c r="D81"/>
      <c r="G81" s="5"/>
      <c r="K81"/>
    </row>
    <row r="82" spans="4:11">
      <c r="D82"/>
      <c r="G82" s="5"/>
      <c r="K82"/>
    </row>
    <row r="83" spans="4:11">
      <c r="D83"/>
      <c r="G83" s="5"/>
      <c r="K83"/>
    </row>
    <row r="84" spans="4:11">
      <c r="D84"/>
      <c r="G84" s="5"/>
      <c r="K84"/>
    </row>
    <row r="85" spans="4:11">
      <c r="D85"/>
      <c r="G85" s="5"/>
      <c r="K85"/>
    </row>
    <row r="86" spans="4:11">
      <c r="D86"/>
      <c r="G86" s="5"/>
      <c r="K86"/>
    </row>
    <row r="87" spans="4:11">
      <c r="D87"/>
      <c r="G87" s="5"/>
      <c r="K87"/>
    </row>
    <row r="88" spans="4:11">
      <c r="D88"/>
      <c r="G88" s="5"/>
      <c r="K88"/>
    </row>
    <row r="89" spans="4:11">
      <c r="D89"/>
      <c r="G89" s="5"/>
      <c r="K89"/>
    </row>
    <row r="90" spans="4:11">
      <c r="D90"/>
      <c r="G90" s="5"/>
      <c r="K90"/>
    </row>
    <row r="91" spans="4:11">
      <c r="D91"/>
      <c r="G91" s="5"/>
      <c r="K91"/>
    </row>
    <row r="92" spans="4:11">
      <c r="D92"/>
      <c r="G92" s="5"/>
      <c r="K92"/>
    </row>
    <row r="93" spans="4:11">
      <c r="D93"/>
      <c r="G93" s="5"/>
      <c r="K93"/>
    </row>
    <row r="94" spans="4:11">
      <c r="D94"/>
      <c r="G94" s="5"/>
      <c r="K94"/>
    </row>
    <row r="95" spans="4:11">
      <c r="D95"/>
      <c r="G95" s="5"/>
      <c r="K95"/>
    </row>
    <row r="96" spans="4:11">
      <c r="D96"/>
      <c r="G96" s="5"/>
      <c r="K96"/>
    </row>
    <row r="97" spans="4:11">
      <c r="D97"/>
      <c r="G97" s="5"/>
      <c r="K97"/>
    </row>
    <row r="98" spans="4:11">
      <c r="D98"/>
      <c r="G98" s="5"/>
      <c r="K98"/>
    </row>
  </sheetData>
  <mergeCells count="17">
    <mergeCell ref="C6:H6"/>
    <mergeCell ref="C7:H7"/>
    <mergeCell ref="C9:H9"/>
    <mergeCell ref="B2:K2"/>
    <mergeCell ref="B3:K3"/>
    <mergeCell ref="C4:K4"/>
    <mergeCell ref="B8:K8"/>
    <mergeCell ref="C5:H5"/>
    <mergeCell ref="B40:K40"/>
    <mergeCell ref="B28:K28"/>
    <mergeCell ref="B23:K23"/>
    <mergeCell ref="B10:K10"/>
    <mergeCell ref="B39:D39"/>
    <mergeCell ref="B20:K20"/>
    <mergeCell ref="B16:K16"/>
    <mergeCell ref="B17:K17"/>
    <mergeCell ref="B13:K13"/>
  </mergeCells>
  <pageMargins left="0.51181102362204722" right="0.51181102362204722" top="0.78740157480314965" bottom="0.78740157480314965" header="0.31496062992125984" footer="0.31496062992125984"/>
  <pageSetup paperSize="8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1:P141"/>
  <sheetViews>
    <sheetView view="pageBreakPreview" zoomScaleSheetLayoutView="100" workbookViewId="0">
      <selection activeCell="O77" sqref="O77"/>
    </sheetView>
  </sheetViews>
  <sheetFormatPr defaultColWidth="11.42578125" defaultRowHeight="12.75"/>
  <cols>
    <col min="1" max="1" width="2.42578125" customWidth="1"/>
    <col min="2" max="2" width="71.42578125" customWidth="1"/>
    <col min="3" max="3" width="10.85546875" customWidth="1"/>
    <col min="4" max="4" width="7.42578125" style="1" customWidth="1"/>
    <col min="5" max="5" width="10.7109375" hidden="1" customWidth="1"/>
    <col min="6" max="6" width="11.85546875" hidden="1" customWidth="1"/>
    <col min="7" max="7" width="16.5703125" style="1" customWidth="1"/>
    <col min="8" max="8" width="10.5703125" customWidth="1"/>
    <col min="9" max="9" width="11.140625" customWidth="1"/>
    <col min="10" max="10" width="18.28515625" customWidth="1"/>
    <col min="11" max="11" width="22" style="6" customWidth="1"/>
    <col min="12" max="12" width="16.42578125" customWidth="1"/>
    <col min="13" max="13" width="17.42578125" customWidth="1"/>
    <col min="14" max="14" width="17" customWidth="1"/>
    <col min="15" max="15" width="18.7109375" customWidth="1"/>
    <col min="16" max="16" width="12.42578125" customWidth="1"/>
    <col min="17" max="17" width="14.5703125" customWidth="1"/>
  </cols>
  <sheetData>
    <row r="1" spans="2:16" ht="13.5" thickBot="1"/>
    <row r="2" spans="2:16" ht="21" customHeight="1">
      <c r="B2" s="878" t="str">
        <f>DADOS!D27</f>
        <v>GESTÃO AMBIENTAL - BR-158/MT</v>
      </c>
      <c r="C2" s="879"/>
      <c r="D2" s="879"/>
      <c r="E2" s="879"/>
      <c r="F2" s="879"/>
      <c r="G2" s="879"/>
      <c r="H2" s="879"/>
      <c r="I2" s="879"/>
      <c r="J2" s="879"/>
      <c r="K2" s="880"/>
    </row>
    <row r="3" spans="2:16" ht="15" customHeight="1">
      <c r="B3" s="881" t="s">
        <v>213</v>
      </c>
      <c r="C3" s="882"/>
      <c r="D3" s="882"/>
      <c r="E3" s="882"/>
      <c r="F3" s="882"/>
      <c r="G3" s="882"/>
      <c r="H3" s="882"/>
      <c r="I3" s="882"/>
      <c r="J3" s="882"/>
      <c r="K3" s="721"/>
    </row>
    <row r="4" spans="2:16">
      <c r="B4" s="264">
        <f>DADOS!E30</f>
        <v>43831</v>
      </c>
      <c r="C4" s="773"/>
      <c r="D4" s="773"/>
      <c r="E4" s="773"/>
      <c r="F4" s="773"/>
      <c r="G4" s="773"/>
      <c r="H4" s="773"/>
      <c r="I4" s="773"/>
      <c r="J4" s="773"/>
      <c r="K4" s="883"/>
    </row>
    <row r="5" spans="2:16" s="2" customFormat="1" ht="38.25">
      <c r="B5" s="325" t="s">
        <v>61</v>
      </c>
      <c r="C5" s="324" t="s">
        <v>631</v>
      </c>
      <c r="D5" s="324" t="s">
        <v>62</v>
      </c>
      <c r="E5" s="324"/>
      <c r="F5" s="324"/>
      <c r="G5" s="324" t="s">
        <v>73</v>
      </c>
      <c r="H5" s="324" t="s">
        <v>64</v>
      </c>
      <c r="I5" s="324" t="s">
        <v>65</v>
      </c>
      <c r="J5" s="324" t="s">
        <v>70</v>
      </c>
      <c r="K5" s="119" t="s">
        <v>71</v>
      </c>
    </row>
    <row r="6" spans="2:16" s="3" customFormat="1" ht="28.5" customHeight="1">
      <c r="B6" s="120"/>
      <c r="C6" s="121"/>
      <c r="D6" s="121" t="s">
        <v>67</v>
      </c>
      <c r="E6" s="121"/>
      <c r="F6" s="121"/>
      <c r="G6" s="121" t="s">
        <v>63</v>
      </c>
      <c r="H6" s="121" t="s">
        <v>68</v>
      </c>
      <c r="I6" s="121" t="s">
        <v>66</v>
      </c>
      <c r="J6" s="121" t="s">
        <v>69</v>
      </c>
      <c r="K6" s="119" t="s">
        <v>72</v>
      </c>
    </row>
    <row r="7" spans="2:16" ht="21.75" customHeight="1">
      <c r="B7" s="265" t="s">
        <v>400</v>
      </c>
      <c r="C7" s="266"/>
      <c r="D7" s="267"/>
      <c r="E7" s="268"/>
      <c r="F7" s="268"/>
      <c r="G7" s="269"/>
      <c r="H7" s="267"/>
      <c r="I7" s="270"/>
      <c r="J7" s="271"/>
      <c r="K7" s="272"/>
      <c r="M7" s="161"/>
      <c r="N7" s="221"/>
      <c r="P7" s="161"/>
    </row>
    <row r="8" spans="2:16" ht="12.75" customHeight="1">
      <c r="B8" s="77" t="s">
        <v>37</v>
      </c>
      <c r="C8" s="321"/>
      <c r="D8" s="74"/>
      <c r="E8" s="75"/>
      <c r="F8" s="75"/>
      <c r="G8" s="128"/>
      <c r="H8" s="74"/>
      <c r="I8" s="73"/>
      <c r="J8" s="146"/>
      <c r="K8" s="131"/>
      <c r="M8" s="161"/>
      <c r="N8" s="221"/>
      <c r="P8" s="161"/>
    </row>
    <row r="9" spans="2:16" ht="12.75" customHeight="1">
      <c r="B9" s="77" t="s">
        <v>650</v>
      </c>
      <c r="C9" s="321"/>
      <c r="D9" s="74"/>
      <c r="E9" s="75"/>
      <c r="F9" s="75"/>
      <c r="G9" s="128"/>
      <c r="H9" s="74"/>
      <c r="I9" s="73"/>
      <c r="J9" s="146"/>
      <c r="K9" s="131"/>
      <c r="L9" s="140"/>
      <c r="M9" s="161"/>
      <c r="N9" s="221"/>
      <c r="O9" s="328"/>
      <c r="P9" s="161"/>
    </row>
    <row r="10" spans="2:16" ht="12.75" customHeight="1">
      <c r="B10" s="597" t="s">
        <v>633</v>
      </c>
      <c r="C10" s="418" t="str">
        <f>DADOS_CONSULT!$A$16</f>
        <v>P8025</v>
      </c>
      <c r="D10" s="598">
        <v>1</v>
      </c>
      <c r="E10" s="75"/>
      <c r="F10" s="75"/>
      <c r="G10" s="128">
        <v>1</v>
      </c>
      <c r="H10" s="74">
        <v>24</v>
      </c>
      <c r="I10" s="90">
        <f>D10*G10*H10</f>
        <v>24</v>
      </c>
      <c r="J10" s="146">
        <f>DADOS_CONSULT!$D$16</f>
        <v>1198.99</v>
      </c>
      <c r="K10" s="599">
        <f>ROUNDDOWN(J10*I10,2)</f>
        <v>28775.759999999998</v>
      </c>
      <c r="L10" s="140"/>
      <c r="M10" s="161"/>
      <c r="N10" s="221"/>
      <c r="O10" s="328"/>
      <c r="P10" s="161"/>
    </row>
    <row r="11" spans="2:16" ht="12.75" customHeight="1">
      <c r="B11" s="597" t="s">
        <v>632</v>
      </c>
      <c r="C11" s="418" t="str">
        <f>DADOS_CONSULT!$A$16</f>
        <v>P8025</v>
      </c>
      <c r="D11" s="598">
        <v>1</v>
      </c>
      <c r="E11" s="75"/>
      <c r="F11" s="75"/>
      <c r="G11" s="128">
        <v>1</v>
      </c>
      <c r="H11" s="74">
        <v>24</v>
      </c>
      <c r="I11" s="90">
        <f>D11*G11*H11</f>
        <v>24</v>
      </c>
      <c r="J11" s="146">
        <f>DADOS_CONSULT!$D$16</f>
        <v>1198.99</v>
      </c>
      <c r="K11" s="599">
        <f>ROUNDDOWN(J11*I11,2)</f>
        <v>28775.759999999998</v>
      </c>
      <c r="L11" s="140"/>
      <c r="M11" s="161"/>
      <c r="N11" s="221"/>
      <c r="O11" s="328"/>
      <c r="P11" s="161"/>
    </row>
    <row r="12" spans="2:16" ht="12.75" customHeight="1">
      <c r="B12" s="597" t="s">
        <v>363</v>
      </c>
      <c r="C12" s="418" t="str">
        <f>DADOS_CONSULT!A8</f>
        <v>P8008</v>
      </c>
      <c r="D12" s="598">
        <v>1</v>
      </c>
      <c r="E12" s="75"/>
      <c r="F12" s="75"/>
      <c r="G12" s="128">
        <v>1</v>
      </c>
      <c r="H12" s="74">
        <v>24</v>
      </c>
      <c r="I12" s="90">
        <f>D12*G12*H12</f>
        <v>24</v>
      </c>
      <c r="J12" s="146">
        <f>DADOS_CONSULT!D8</f>
        <v>5081.33</v>
      </c>
      <c r="K12" s="599">
        <f>ROUNDDOWN(J12*I12,2)</f>
        <v>121951.92</v>
      </c>
      <c r="L12" s="140"/>
      <c r="M12" s="161"/>
      <c r="N12" s="221"/>
      <c r="O12" s="328"/>
      <c r="P12" s="161"/>
    </row>
    <row r="13" spans="2:16">
      <c r="B13" s="118" t="s">
        <v>634</v>
      </c>
      <c r="C13" s="418" t="str">
        <f>DADOS_CONSULT!$A$27</f>
        <v>P8044</v>
      </c>
      <c r="D13" s="74">
        <v>1</v>
      </c>
      <c r="E13" s="75"/>
      <c r="F13" s="75"/>
      <c r="G13" s="128">
        <v>0.5</v>
      </c>
      <c r="H13" s="74">
        <v>24</v>
      </c>
      <c r="I13" s="559">
        <f t="shared" ref="I13:I20" si="0">D13*G13*H13</f>
        <v>12</v>
      </c>
      <c r="J13" s="146">
        <f>DADOS_CONSULT!$D$27</f>
        <v>15919.16</v>
      </c>
      <c r="K13" s="599">
        <f>ROUNDDOWN(J13*I13,2)</f>
        <v>191029.92</v>
      </c>
      <c r="L13" s="329"/>
      <c r="M13" s="330"/>
      <c r="N13" s="329"/>
      <c r="O13" s="338"/>
    </row>
    <row r="14" spans="2:16">
      <c r="B14" s="118" t="s">
        <v>356</v>
      </c>
      <c r="C14" s="418" t="str">
        <f>DADOS_CONSULT!$A$27</f>
        <v>P8044</v>
      </c>
      <c r="D14" s="74">
        <v>1</v>
      </c>
      <c r="E14" s="75"/>
      <c r="F14" s="75"/>
      <c r="G14" s="128">
        <v>1</v>
      </c>
      <c r="H14" s="74">
        <v>24</v>
      </c>
      <c r="I14" s="90">
        <f t="shared" si="0"/>
        <v>24</v>
      </c>
      <c r="J14" s="146">
        <f>DADOS_CONSULT!$D$27</f>
        <v>15919.16</v>
      </c>
      <c r="K14" s="131">
        <f t="shared" ref="K14:K20" si="1">ROUNDDOWN(J14*I14,2)</f>
        <v>382059.84</v>
      </c>
      <c r="N14" s="161"/>
    </row>
    <row r="15" spans="2:16" s="7" customFormat="1">
      <c r="B15" s="118" t="s">
        <v>357</v>
      </c>
      <c r="C15" s="418" t="str">
        <f>DADOS_CONSULT!$A$27</f>
        <v>P8044</v>
      </c>
      <c r="D15" s="74">
        <v>1</v>
      </c>
      <c r="E15" s="75"/>
      <c r="F15" s="75"/>
      <c r="G15" s="128">
        <v>1</v>
      </c>
      <c r="H15" s="74">
        <v>24</v>
      </c>
      <c r="I15" s="90">
        <f t="shared" si="0"/>
        <v>24</v>
      </c>
      <c r="J15" s="146">
        <f>DADOS_CONSULT!$D$27</f>
        <v>15919.16</v>
      </c>
      <c r="K15" s="131">
        <f t="shared" si="1"/>
        <v>382059.84</v>
      </c>
      <c r="M15" s="222"/>
    </row>
    <row r="16" spans="2:16" s="7" customFormat="1">
      <c r="B16" s="118" t="s">
        <v>358</v>
      </c>
      <c r="C16" s="418" t="str">
        <f>DADOS_CONSULT!$A$27</f>
        <v>P8044</v>
      </c>
      <c r="D16" s="74">
        <v>1</v>
      </c>
      <c r="E16" s="75"/>
      <c r="F16" s="75"/>
      <c r="G16" s="128">
        <v>1</v>
      </c>
      <c r="H16" s="74">
        <v>24</v>
      </c>
      <c r="I16" s="90">
        <f t="shared" si="0"/>
        <v>24</v>
      </c>
      <c r="J16" s="146">
        <f>DADOS_CONSULT!$D$27</f>
        <v>15919.16</v>
      </c>
      <c r="K16" s="131">
        <f t="shared" si="1"/>
        <v>382059.84</v>
      </c>
      <c r="M16" s="222"/>
    </row>
    <row r="17" spans="2:15" s="7" customFormat="1">
      <c r="B17" s="118" t="s">
        <v>635</v>
      </c>
      <c r="C17" s="418" t="str">
        <f>DADOS_CONSULT!A38</f>
        <v>P8058</v>
      </c>
      <c r="D17" s="74">
        <v>1</v>
      </c>
      <c r="E17" s="75"/>
      <c r="F17" s="75"/>
      <c r="G17" s="128">
        <v>1</v>
      </c>
      <c r="H17" s="74">
        <v>24</v>
      </c>
      <c r="I17" s="90">
        <f>D17*G17*H17</f>
        <v>24</v>
      </c>
      <c r="J17" s="146">
        <f>DADOS_CONSULT!D38</f>
        <v>9593.39</v>
      </c>
      <c r="K17" s="131">
        <f>ROUNDDOWN(J17*I17,2)</f>
        <v>230241.36</v>
      </c>
      <c r="M17" s="222"/>
    </row>
    <row r="18" spans="2:15" s="7" customFormat="1">
      <c r="B18" s="118" t="s">
        <v>359</v>
      </c>
      <c r="C18" s="418" t="str">
        <f>DADOS_CONSULT!A38</f>
        <v>P8058</v>
      </c>
      <c r="D18" s="74">
        <v>1</v>
      </c>
      <c r="E18" s="75"/>
      <c r="F18" s="75"/>
      <c r="G18" s="128">
        <v>1</v>
      </c>
      <c r="H18" s="74">
        <v>24</v>
      </c>
      <c r="I18" s="90">
        <f t="shared" si="0"/>
        <v>24</v>
      </c>
      <c r="J18" s="146">
        <f>DADOS_CONSULT!D38</f>
        <v>9593.39</v>
      </c>
      <c r="K18" s="131">
        <f t="shared" si="1"/>
        <v>230241.36</v>
      </c>
      <c r="M18" s="222"/>
    </row>
    <row r="19" spans="2:15" s="7" customFormat="1">
      <c r="B19" s="118" t="s">
        <v>361</v>
      </c>
      <c r="C19" s="418" t="str">
        <f>DADOS_CONSULT!$A$76</f>
        <v>P8135</v>
      </c>
      <c r="D19" s="74">
        <v>1</v>
      </c>
      <c r="E19" s="75"/>
      <c r="F19" s="75"/>
      <c r="G19" s="128">
        <v>1</v>
      </c>
      <c r="H19" s="74">
        <v>24</v>
      </c>
      <c r="I19" s="90">
        <f t="shared" si="0"/>
        <v>24</v>
      </c>
      <c r="J19" s="146">
        <f>DADOS_CONSULT!$D$76</f>
        <v>1968.4</v>
      </c>
      <c r="K19" s="131">
        <f t="shared" si="1"/>
        <v>47241.599999999999</v>
      </c>
      <c r="M19" s="222"/>
    </row>
    <row r="20" spans="2:15" s="7" customFormat="1">
      <c r="B20" s="118" t="s">
        <v>362</v>
      </c>
      <c r="C20" s="418" t="str">
        <f>DADOS_CONSULT!$A$76</f>
        <v>P8135</v>
      </c>
      <c r="D20" s="74">
        <v>1</v>
      </c>
      <c r="E20" s="75"/>
      <c r="F20" s="75"/>
      <c r="G20" s="128">
        <v>1</v>
      </c>
      <c r="H20" s="74">
        <v>24</v>
      </c>
      <c r="I20" s="90">
        <f t="shared" si="0"/>
        <v>24</v>
      </c>
      <c r="J20" s="146">
        <f>DADOS_CONSULT!$D$76</f>
        <v>1968.4</v>
      </c>
      <c r="K20" s="131">
        <f t="shared" si="1"/>
        <v>47241.599999999999</v>
      </c>
      <c r="M20" s="337"/>
      <c r="N20" s="202"/>
    </row>
    <row r="21" spans="2:15" s="7" customFormat="1">
      <c r="B21" s="118" t="s">
        <v>360</v>
      </c>
      <c r="C21" s="418" t="str">
        <f>DADOS_CONSULT!A78</f>
        <v>P8143</v>
      </c>
      <c r="D21" s="74">
        <v>1</v>
      </c>
      <c r="E21" s="75"/>
      <c r="F21" s="75"/>
      <c r="G21" s="128">
        <v>1</v>
      </c>
      <c r="H21" s="74">
        <v>24</v>
      </c>
      <c r="I21" s="90">
        <f>D21*G21*H21</f>
        <v>24</v>
      </c>
      <c r="J21" s="146">
        <f>DADOS_CONSULT!D78</f>
        <v>2291.36</v>
      </c>
      <c r="K21" s="131">
        <f>ROUNDDOWN(J21*I21,2)</f>
        <v>54992.639999999999</v>
      </c>
      <c r="M21" s="222"/>
    </row>
    <row r="22" spans="2:15" s="4" customFormat="1">
      <c r="B22" s="310" t="s">
        <v>644</v>
      </c>
      <c r="C22" s="78"/>
      <c r="D22" s="199"/>
      <c r="E22" s="78"/>
      <c r="F22" s="78"/>
      <c r="G22" s="124"/>
      <c r="H22" s="78"/>
      <c r="I22" s="78"/>
      <c r="J22" s="78"/>
      <c r="K22" s="125">
        <f>SUM(K10:K21)</f>
        <v>2126671.4400000004</v>
      </c>
      <c r="L22" s="4">
        <v>22</v>
      </c>
      <c r="M22" s="331"/>
      <c r="N22" s="339"/>
      <c r="O22" s="331"/>
    </row>
    <row r="23" spans="2:15" s="4" customFormat="1">
      <c r="B23" s="310"/>
      <c r="C23" s="78"/>
      <c r="D23" s="199"/>
      <c r="E23" s="78"/>
      <c r="F23" s="78"/>
      <c r="G23" s="124"/>
      <c r="H23" s="78"/>
      <c r="I23" s="78"/>
      <c r="J23" s="78"/>
      <c r="K23" s="125"/>
      <c r="L23" s="331"/>
      <c r="M23" s="225"/>
      <c r="N23" s="331"/>
    </row>
    <row r="24" spans="2:15" s="4" customFormat="1">
      <c r="B24" s="77" t="s">
        <v>651</v>
      </c>
      <c r="C24" s="76"/>
      <c r="D24" s="323"/>
      <c r="E24" s="76"/>
      <c r="F24" s="76"/>
      <c r="G24" s="122"/>
      <c r="H24" s="76"/>
      <c r="I24" s="568" t="s">
        <v>637</v>
      </c>
      <c r="J24" s="570" t="s">
        <v>636</v>
      </c>
      <c r="K24" s="151"/>
      <c r="M24" s="225"/>
    </row>
    <row r="25" spans="2:15" s="4" customFormat="1">
      <c r="B25" s="510" t="s">
        <v>535</v>
      </c>
      <c r="C25" s="76"/>
      <c r="D25" s="323"/>
      <c r="E25" s="76"/>
      <c r="F25" s="76"/>
      <c r="G25" s="122"/>
      <c r="H25" s="76"/>
      <c r="I25" s="569">
        <f>DADOS_CONSULT!W16/100</f>
        <v>1.5485</v>
      </c>
      <c r="J25" s="226">
        <v>2</v>
      </c>
      <c r="K25" s="151">
        <f>I25*J25*K10</f>
        <v>89118.528719999988</v>
      </c>
      <c r="M25" s="225"/>
    </row>
    <row r="26" spans="2:15" s="4" customFormat="1">
      <c r="B26" s="510" t="s">
        <v>527</v>
      </c>
      <c r="C26" s="76"/>
      <c r="D26" s="555"/>
      <c r="E26" s="76"/>
      <c r="F26" s="76"/>
      <c r="G26" s="122"/>
      <c r="H26" s="76"/>
      <c r="I26" s="569">
        <f>DADOS_CONSULT!$W$8/100</f>
        <v>0.94920000000000004</v>
      </c>
      <c r="J26" s="226">
        <v>1</v>
      </c>
      <c r="K26" s="151">
        <f>I26*J26*K12</f>
        <v>115756.762464</v>
      </c>
      <c r="M26" s="225"/>
    </row>
    <row r="27" spans="2:15" s="4" customFormat="1">
      <c r="B27" s="510" t="s">
        <v>546</v>
      </c>
      <c r="C27" s="76"/>
      <c r="D27" s="555"/>
      <c r="E27" s="76"/>
      <c r="F27" s="76"/>
      <c r="G27" s="122"/>
      <c r="H27" s="76"/>
      <c r="I27" s="569">
        <f>DADOS_CONSULT!W27/100</f>
        <v>0.84819999999999995</v>
      </c>
      <c r="J27" s="226">
        <v>3.5</v>
      </c>
      <c r="K27" s="151">
        <f>I27*J27*K14</f>
        <v>1134221.0470079998</v>
      </c>
      <c r="M27" s="225"/>
    </row>
    <row r="28" spans="2:15" s="4" customFormat="1">
      <c r="B28" s="510" t="s">
        <v>465</v>
      </c>
      <c r="C28" s="76"/>
      <c r="D28" s="555"/>
      <c r="E28" s="76"/>
      <c r="F28" s="76"/>
      <c r="G28" s="122"/>
      <c r="H28" s="76"/>
      <c r="I28" s="569">
        <f>DADOS_CONSULT!W38/100</f>
        <v>0.88090000000000002</v>
      </c>
      <c r="J28" s="226">
        <v>2</v>
      </c>
      <c r="K28" s="151">
        <f>I28*J28*K17</f>
        <v>405639.22804799996</v>
      </c>
      <c r="M28" s="225"/>
    </row>
    <row r="29" spans="2:15" s="4" customFormat="1">
      <c r="B29" s="510" t="s">
        <v>334</v>
      </c>
      <c r="C29" s="76"/>
      <c r="D29" s="555"/>
      <c r="E29" s="76"/>
      <c r="F29" s="76"/>
      <c r="G29" s="122"/>
      <c r="H29" s="76"/>
      <c r="I29" s="569">
        <f>DADOS_CONSULT!W76/100</f>
        <v>1.1967000000000001</v>
      </c>
      <c r="J29" s="226">
        <v>2</v>
      </c>
      <c r="K29" s="151">
        <f>I29*J29*K19</f>
        <v>113068.04544</v>
      </c>
      <c r="M29" s="225"/>
    </row>
    <row r="30" spans="2:15" s="4" customFormat="1">
      <c r="B30" s="510" t="s">
        <v>580</v>
      </c>
      <c r="C30" s="76"/>
      <c r="D30" s="555"/>
      <c r="E30" s="76"/>
      <c r="F30" s="76"/>
      <c r="G30" s="122"/>
      <c r="H30" s="76"/>
      <c r="I30" s="569">
        <f>DADOS_CONSULT!W78/100</f>
        <v>1.1345000000000001</v>
      </c>
      <c r="J30" s="226">
        <v>1</v>
      </c>
      <c r="K30" s="151">
        <f>I30*K21</f>
        <v>62389.150079999999</v>
      </c>
      <c r="M30" s="225"/>
    </row>
    <row r="31" spans="2:15" s="4" customFormat="1">
      <c r="B31" s="310" t="s">
        <v>645</v>
      </c>
      <c r="C31" s="76"/>
      <c r="D31" s="323"/>
      <c r="E31" s="76"/>
      <c r="F31" s="76"/>
      <c r="G31" s="122"/>
      <c r="H31" s="76"/>
      <c r="I31" s="126"/>
      <c r="J31" s="84"/>
      <c r="K31" s="152">
        <f>SUM(K25:K30)</f>
        <v>1920192.7617599999</v>
      </c>
      <c r="L31" s="4">
        <v>31</v>
      </c>
      <c r="M31" s="225"/>
    </row>
    <row r="32" spans="2:15" ht="12.75" customHeight="1">
      <c r="B32" s="888"/>
      <c r="C32" s="889"/>
      <c r="D32" s="889"/>
      <c r="E32" s="889"/>
      <c r="F32" s="889"/>
      <c r="G32" s="889"/>
      <c r="H32" s="889"/>
      <c r="I32" s="889"/>
      <c r="J32" s="889"/>
      <c r="K32" s="890"/>
      <c r="M32" s="8"/>
    </row>
    <row r="33" spans="2:14" ht="12.75" customHeight="1">
      <c r="B33" s="100" t="s">
        <v>652</v>
      </c>
      <c r="C33" s="241"/>
      <c r="D33" s="241"/>
      <c r="E33" s="241"/>
      <c r="F33" s="241"/>
      <c r="G33" s="241"/>
      <c r="H33" s="241"/>
      <c r="I33" s="241" t="s">
        <v>240</v>
      </c>
      <c r="J33" s="241" t="s">
        <v>322</v>
      </c>
      <c r="K33" s="241" t="s">
        <v>71</v>
      </c>
      <c r="M33" s="8"/>
    </row>
    <row r="34" spans="2:14" ht="12.75" customHeight="1">
      <c r="B34" s="451" t="s">
        <v>308</v>
      </c>
      <c r="C34" s="241"/>
      <c r="D34" s="241"/>
      <c r="E34" s="241"/>
      <c r="F34" s="241"/>
      <c r="G34" s="241"/>
      <c r="H34" s="241"/>
      <c r="I34" s="241">
        <v>24</v>
      </c>
      <c r="J34" s="84">
        <f>C70</f>
        <v>277.43666666666667</v>
      </c>
      <c r="K34" s="123">
        <f>I34*J34</f>
        <v>6658.48</v>
      </c>
      <c r="M34" s="8"/>
    </row>
    <row r="35" spans="2:14" ht="12.75" customHeight="1">
      <c r="B35" s="451" t="s">
        <v>309</v>
      </c>
      <c r="C35" s="241"/>
      <c r="D35" s="241"/>
      <c r="E35" s="241"/>
      <c r="F35" s="241"/>
      <c r="G35" s="241"/>
      <c r="H35" s="241"/>
      <c r="I35" s="241">
        <v>24</v>
      </c>
      <c r="J35" s="84">
        <f>C76</f>
        <v>246.35666666666668</v>
      </c>
      <c r="K35" s="123">
        <f>I35*J35</f>
        <v>5912.56</v>
      </c>
      <c r="M35" s="8"/>
    </row>
    <row r="36" spans="2:14" ht="12.75" customHeight="1">
      <c r="B36" s="310" t="s">
        <v>646</v>
      </c>
      <c r="C36" s="241"/>
      <c r="D36" s="241"/>
      <c r="E36" s="241"/>
      <c r="F36" s="241"/>
      <c r="G36" s="241"/>
      <c r="H36" s="241"/>
      <c r="I36" s="241"/>
      <c r="J36" s="241"/>
      <c r="K36" s="125">
        <f>SUM(K34:K35)</f>
        <v>12571.04</v>
      </c>
      <c r="L36">
        <v>36</v>
      </c>
      <c r="M36" s="8"/>
    </row>
    <row r="37" spans="2:14" ht="12.75" customHeight="1">
      <c r="B37" s="419"/>
      <c r="C37" s="420"/>
      <c r="D37" s="420"/>
      <c r="E37" s="420"/>
      <c r="F37" s="420"/>
      <c r="G37" s="420"/>
      <c r="H37" s="420"/>
      <c r="I37" s="420"/>
      <c r="J37" s="420"/>
      <c r="K37" s="421"/>
      <c r="M37" s="8"/>
    </row>
    <row r="38" spans="2:14">
      <c r="B38" s="105" t="s">
        <v>653</v>
      </c>
      <c r="C38" s="76"/>
      <c r="D38" s="322" t="s">
        <v>62</v>
      </c>
      <c r="E38" s="76"/>
      <c r="F38" s="76"/>
      <c r="G38" s="88" t="s">
        <v>64</v>
      </c>
      <c r="H38" s="88" t="s">
        <v>638</v>
      </c>
      <c r="I38" s="322" t="s">
        <v>48</v>
      </c>
      <c r="J38" s="322" t="s">
        <v>50</v>
      </c>
      <c r="K38" s="95" t="s">
        <v>166</v>
      </c>
    </row>
    <row r="39" spans="2:14">
      <c r="B39" s="141" t="str">
        <f>DADOS!H10</f>
        <v>CAMINHONETE - 140 A 165 CV</v>
      </c>
      <c r="C39" s="100"/>
      <c r="D39" s="557">
        <v>1</v>
      </c>
      <c r="E39" s="100"/>
      <c r="F39" s="100"/>
      <c r="G39" s="557">
        <v>24</v>
      </c>
      <c r="H39" s="560">
        <f>G39*22*8</f>
        <v>4224</v>
      </c>
      <c r="I39" s="557">
        <f>H39</f>
        <v>4224</v>
      </c>
      <c r="J39" s="130">
        <f>DADOS_CONSULT!AF13</f>
        <v>46.14</v>
      </c>
      <c r="K39" s="131">
        <f>J39*I39</f>
        <v>194895.36000000002</v>
      </c>
      <c r="L39" s="327"/>
    </row>
    <row r="40" spans="2:14">
      <c r="B40" s="132" t="s">
        <v>647</v>
      </c>
      <c r="C40" s="100"/>
      <c r="D40" s="557"/>
      <c r="E40" s="100"/>
      <c r="F40" s="100"/>
      <c r="G40" s="129"/>
      <c r="H40" s="557"/>
      <c r="I40" s="557"/>
      <c r="J40" s="130"/>
      <c r="K40" s="134">
        <f>SUM(K39:K39)</f>
        <v>194895.36000000002</v>
      </c>
      <c r="L40">
        <v>40</v>
      </c>
      <c r="M40" s="161"/>
    </row>
    <row r="41" spans="2:14" s="103" customFormat="1">
      <c r="B41" s="132"/>
      <c r="C41" s="100"/>
      <c r="D41" s="73"/>
      <c r="E41" s="100"/>
      <c r="F41" s="100"/>
      <c r="G41" s="129"/>
      <c r="H41" s="100"/>
      <c r="I41" s="100"/>
      <c r="J41" s="133"/>
      <c r="K41" s="134"/>
      <c r="L41" s="101"/>
      <c r="M41" s="102"/>
    </row>
    <row r="42" spans="2:14">
      <c r="B42" s="468" t="s">
        <v>643</v>
      </c>
      <c r="C42" s="76"/>
      <c r="D42" s="323"/>
      <c r="E42" s="76"/>
      <c r="F42" s="76"/>
      <c r="G42" s="122"/>
      <c r="H42" s="76"/>
      <c r="I42" s="76"/>
      <c r="J42" s="84"/>
      <c r="K42" s="470">
        <f>SUM(K22+K31+K36+K40)</f>
        <v>4254330.6017600009</v>
      </c>
      <c r="L42">
        <v>42</v>
      </c>
      <c r="M42" s="8"/>
    </row>
    <row r="43" spans="2:14">
      <c r="B43" s="310"/>
      <c r="C43" s="76"/>
      <c r="D43" s="323"/>
      <c r="E43" s="76"/>
      <c r="F43" s="76"/>
      <c r="G43" s="122"/>
      <c r="H43" s="76"/>
      <c r="I43" s="126"/>
      <c r="J43" s="84"/>
      <c r="K43" s="125"/>
      <c r="L43" s="8"/>
    </row>
    <row r="44" spans="2:14">
      <c r="B44" s="77" t="s">
        <v>38</v>
      </c>
      <c r="C44" s="76"/>
      <c r="D44" s="323"/>
      <c r="E44" s="76"/>
      <c r="F44" s="76"/>
      <c r="G44" s="122"/>
      <c r="H44" s="76"/>
      <c r="I44" s="76"/>
      <c r="J44" s="84"/>
      <c r="K44" s="95"/>
      <c r="L44" s="8"/>
    </row>
    <row r="45" spans="2:14">
      <c r="B45" s="105" t="s">
        <v>649</v>
      </c>
      <c r="C45" s="76"/>
      <c r="D45" s="323"/>
      <c r="E45" s="76"/>
      <c r="F45" s="76"/>
      <c r="G45" s="122"/>
      <c r="H45" s="76"/>
      <c r="I45" s="76"/>
      <c r="J45" s="76"/>
      <c r="K45" s="125"/>
      <c r="L45" s="8"/>
      <c r="M45" s="161"/>
    </row>
    <row r="46" spans="2:14">
      <c r="B46" s="451" t="s">
        <v>639</v>
      </c>
      <c r="C46" s="76"/>
      <c r="D46" s="555"/>
      <c r="E46" s="76"/>
      <c r="F46" s="76"/>
      <c r="G46" s="122"/>
      <c r="H46" s="76"/>
      <c r="I46" s="127">
        <v>0.1</v>
      </c>
      <c r="J46" s="226"/>
      <c r="K46" s="572">
        <f>I46*$K$42</f>
        <v>425433.06017600012</v>
      </c>
      <c r="L46" s="8"/>
      <c r="M46" s="161"/>
      <c r="N46" s="161"/>
    </row>
    <row r="47" spans="2:14">
      <c r="B47" s="451" t="s">
        <v>640</v>
      </c>
      <c r="C47" s="76"/>
      <c r="D47" s="555"/>
      <c r="E47" s="76"/>
      <c r="F47" s="76"/>
      <c r="G47" s="122"/>
      <c r="H47" s="76"/>
      <c r="I47" s="127">
        <v>2.5000000000000001E-3</v>
      </c>
      <c r="J47" s="226"/>
      <c r="K47" s="572">
        <f t="shared" ref="K47:K49" si="2">I47*$K$42</f>
        <v>10635.826504400002</v>
      </c>
      <c r="L47" s="8"/>
      <c r="M47" s="161"/>
    </row>
    <row r="48" spans="2:14">
      <c r="B48" s="451" t="s">
        <v>641</v>
      </c>
      <c r="C48" s="76"/>
      <c r="D48" s="555"/>
      <c r="E48" s="76"/>
      <c r="F48" s="76"/>
      <c r="G48" s="122"/>
      <c r="H48" s="76"/>
      <c r="I48" s="127">
        <v>7.1999999999999998E-3</v>
      </c>
      <c r="J48" s="226"/>
      <c r="K48" s="572">
        <f t="shared" si="2"/>
        <v>30631.180332672007</v>
      </c>
      <c r="L48" s="8"/>
      <c r="M48" s="161"/>
    </row>
    <row r="49" spans="2:14">
      <c r="B49" s="451" t="s">
        <v>642</v>
      </c>
      <c r="C49" s="76"/>
      <c r="D49" s="323"/>
      <c r="E49" s="76"/>
      <c r="F49" s="76"/>
      <c r="G49" s="122"/>
      <c r="H49" s="76"/>
      <c r="I49" s="127">
        <v>1.4E-3</v>
      </c>
      <c r="J49" s="226"/>
      <c r="K49" s="572">
        <f t="shared" si="2"/>
        <v>5956.0628424640008</v>
      </c>
      <c r="L49" s="8"/>
    </row>
    <row r="50" spans="2:14">
      <c r="B50" s="573" t="s">
        <v>648</v>
      </c>
      <c r="C50" s="76"/>
      <c r="D50" s="555"/>
      <c r="E50" s="76"/>
      <c r="F50" s="76"/>
      <c r="G50" s="122"/>
      <c r="H50" s="76"/>
      <c r="I50" s="127">
        <f>SUM(I46:I49)</f>
        <v>0.1111</v>
      </c>
      <c r="J50" s="226"/>
      <c r="K50" s="125">
        <f>SUM(K46:K49)</f>
        <v>472656.12985553616</v>
      </c>
      <c r="L50">
        <v>50</v>
      </c>
    </row>
    <row r="51" spans="2:14">
      <c r="B51" s="105"/>
      <c r="C51" s="76"/>
      <c r="D51" s="555"/>
      <c r="E51" s="76"/>
      <c r="F51" s="76"/>
      <c r="G51" s="122"/>
      <c r="H51" s="76"/>
      <c r="I51" s="76"/>
      <c r="J51" s="76"/>
      <c r="K51" s="123"/>
      <c r="L51" s="8"/>
    </row>
    <row r="52" spans="2:14">
      <c r="B52" s="105" t="s">
        <v>654</v>
      </c>
      <c r="C52" s="76"/>
      <c r="D52" s="555"/>
      <c r="E52" s="76"/>
      <c r="F52" s="76"/>
      <c r="G52" s="122"/>
      <c r="H52" s="76"/>
      <c r="I52" s="76"/>
      <c r="J52" s="76"/>
      <c r="K52" s="123"/>
      <c r="L52" s="8"/>
    </row>
    <row r="53" spans="2:14">
      <c r="B53" s="105" t="s">
        <v>209</v>
      </c>
      <c r="C53" s="76"/>
      <c r="D53" s="555"/>
      <c r="E53" s="76"/>
      <c r="F53" s="76"/>
      <c r="G53" s="122"/>
      <c r="H53" s="76"/>
      <c r="I53" s="127">
        <v>0.12</v>
      </c>
      <c r="J53" s="84"/>
      <c r="K53" s="125">
        <f>I53*K42</f>
        <v>510519.67221120012</v>
      </c>
      <c r="L53">
        <v>53</v>
      </c>
    </row>
    <row r="54" spans="2:14">
      <c r="B54" s="105"/>
      <c r="C54" s="76"/>
      <c r="D54" s="555"/>
      <c r="E54" s="76"/>
      <c r="F54" s="76"/>
      <c r="G54" s="122"/>
      <c r="H54" s="76"/>
      <c r="I54" s="76"/>
      <c r="J54" s="76"/>
      <c r="K54" s="123"/>
      <c r="L54" s="8"/>
    </row>
    <row r="55" spans="2:14">
      <c r="B55" s="105" t="s">
        <v>655</v>
      </c>
      <c r="C55" s="76"/>
      <c r="D55" s="323"/>
      <c r="E55" s="76"/>
      <c r="F55" s="76"/>
      <c r="G55" s="122"/>
      <c r="H55" s="76"/>
      <c r="I55" s="127"/>
      <c r="J55" s="76"/>
      <c r="K55" s="76"/>
      <c r="L55" s="8"/>
    </row>
    <row r="56" spans="2:14">
      <c r="B56" s="571" t="s">
        <v>656</v>
      </c>
      <c r="C56" s="76"/>
      <c r="D56" s="555"/>
      <c r="E56" s="76"/>
      <c r="F56" s="76"/>
      <c r="G56" s="122"/>
      <c r="H56" s="76"/>
      <c r="I56" s="127">
        <v>2.3699999999999999E-2</v>
      </c>
      <c r="J56" s="76"/>
      <c r="K56" s="226">
        <f>I56*$K$42</f>
        <v>100827.63526171201</v>
      </c>
      <c r="L56" s="8"/>
    </row>
    <row r="57" spans="2:14">
      <c r="B57" s="571" t="s">
        <v>657</v>
      </c>
      <c r="C57" s="76"/>
      <c r="D57" s="555"/>
      <c r="E57" s="76"/>
      <c r="F57" s="76"/>
      <c r="G57" s="122"/>
      <c r="H57" s="76"/>
      <c r="I57" s="127">
        <v>0.1091</v>
      </c>
      <c r="J57" s="76"/>
      <c r="K57" s="226">
        <f t="shared" ref="K57:K58" si="3">I57*$K$42</f>
        <v>464147.46865201613</v>
      </c>
      <c r="L57" s="8"/>
    </row>
    <row r="58" spans="2:14">
      <c r="B58" s="571" t="s">
        <v>658</v>
      </c>
      <c r="C58" s="76"/>
      <c r="D58" s="323"/>
      <c r="E58" s="76"/>
      <c r="F58" s="76"/>
      <c r="G58" s="122"/>
      <c r="H58" s="76"/>
      <c r="I58" s="127">
        <v>7.1800000000000003E-2</v>
      </c>
      <c r="J58" s="76"/>
      <c r="K58" s="226">
        <f t="shared" si="3"/>
        <v>305460.93720636808</v>
      </c>
      <c r="L58" s="225"/>
      <c r="M58" s="8"/>
    </row>
    <row r="59" spans="2:14">
      <c r="B59" s="105"/>
      <c r="C59" s="76"/>
      <c r="D59" s="323"/>
      <c r="E59" s="76"/>
      <c r="F59" s="76"/>
      <c r="G59" s="122"/>
      <c r="H59" s="76"/>
      <c r="I59" s="127"/>
      <c r="J59" s="84"/>
      <c r="K59" s="125">
        <f>SUM(K56:K58)</f>
        <v>870436.04112009623</v>
      </c>
      <c r="L59">
        <v>59</v>
      </c>
    </row>
    <row r="60" spans="2:14" ht="16.5" customHeight="1">
      <c r="B60" s="105"/>
      <c r="C60" s="76"/>
      <c r="D60" s="323"/>
      <c r="E60" s="76"/>
      <c r="F60" s="76"/>
      <c r="G60" s="122"/>
      <c r="H60" s="76"/>
      <c r="I60" s="127"/>
      <c r="J60" s="84"/>
      <c r="K60" s="125"/>
      <c r="L60" s="340"/>
      <c r="M60" s="327"/>
      <c r="N60" s="327"/>
    </row>
    <row r="61" spans="2:14">
      <c r="B61" s="468" t="s">
        <v>208</v>
      </c>
      <c r="C61" s="321"/>
      <c r="D61" s="92"/>
      <c r="E61" s="76"/>
      <c r="F61" s="76"/>
      <c r="G61" s="122"/>
      <c r="H61" s="74"/>
      <c r="I61" s="73"/>
      <c r="J61" s="146"/>
      <c r="K61" s="134">
        <f>K50+K53+K59</f>
        <v>1853611.8431868325</v>
      </c>
      <c r="L61">
        <v>61</v>
      </c>
    </row>
    <row r="62" spans="2:14" ht="14.25" customHeight="1">
      <c r="B62" s="118"/>
      <c r="C62" s="321"/>
      <c r="D62" s="92"/>
      <c r="E62" s="76"/>
      <c r="F62" s="76"/>
      <c r="G62" s="122"/>
      <c r="H62" s="74"/>
      <c r="I62" s="73"/>
      <c r="J62" s="146"/>
      <c r="K62" s="131"/>
    </row>
    <row r="63" spans="2:14">
      <c r="B63" s="469" t="s">
        <v>207</v>
      </c>
      <c r="C63" s="76"/>
      <c r="D63" s="323"/>
      <c r="E63" s="76"/>
      <c r="F63" s="76"/>
      <c r="G63" s="122"/>
      <c r="H63" s="76"/>
      <c r="I63" s="127"/>
      <c r="J63" s="84"/>
      <c r="K63" s="134">
        <f>K42+K61</f>
        <v>6107942.444946833</v>
      </c>
    </row>
    <row r="64" spans="2:14">
      <c r="B64" s="450"/>
      <c r="C64" s="455"/>
      <c r="D64" s="457"/>
      <c r="E64" s="455"/>
      <c r="F64" s="455"/>
      <c r="G64" s="454"/>
      <c r="H64" s="455"/>
      <c r="I64" s="456"/>
      <c r="J64" s="453"/>
      <c r="K64" s="452"/>
    </row>
    <row r="65" spans="2:11" ht="13.5" thickBot="1">
      <c r="B65" s="450"/>
      <c r="C65" s="455"/>
      <c r="D65" s="457"/>
      <c r="E65" s="455"/>
      <c r="F65" s="455"/>
      <c r="G65" s="454"/>
      <c r="H65" s="455"/>
      <c r="I65" s="456"/>
      <c r="J65" s="453"/>
      <c r="K65" s="452"/>
    </row>
    <row r="66" spans="2:11" ht="13.5" thickBot="1">
      <c r="B66" s="460" t="s">
        <v>310</v>
      </c>
      <c r="C66" s="461" t="s">
        <v>311</v>
      </c>
      <c r="D66" s="461" t="s">
        <v>312</v>
      </c>
      <c r="E66" s="462" t="s">
        <v>14</v>
      </c>
      <c r="F66" s="455"/>
      <c r="G66" s="454"/>
      <c r="H66" s="455"/>
      <c r="I66" s="456"/>
      <c r="J66" s="453"/>
      <c r="K66" s="452"/>
    </row>
    <row r="67" spans="2:11">
      <c r="B67" s="464" t="s">
        <v>313</v>
      </c>
      <c r="C67" s="471">
        <v>226.8</v>
      </c>
      <c r="D67" s="472">
        <v>31.57</v>
      </c>
      <c r="E67" s="473">
        <v>405.86</v>
      </c>
      <c r="F67" s="455"/>
      <c r="G67" s="454"/>
      <c r="H67" s="455"/>
      <c r="I67" s="456"/>
      <c r="J67" s="453"/>
      <c r="K67" s="452"/>
    </row>
    <row r="68" spans="2:11">
      <c r="B68" s="465" t="s">
        <v>314</v>
      </c>
      <c r="C68" s="474">
        <v>172.9</v>
      </c>
      <c r="D68" s="475">
        <v>31.57</v>
      </c>
      <c r="E68" s="476">
        <v>768.95999999999992</v>
      </c>
      <c r="F68" s="455"/>
      <c r="G68" s="454"/>
      <c r="H68" s="455"/>
      <c r="I68" s="456"/>
      <c r="J68" s="453"/>
      <c r="K68" s="452"/>
    </row>
    <row r="69" spans="2:11" ht="13.5" thickBot="1">
      <c r="B69" s="466" t="s">
        <v>315</v>
      </c>
      <c r="C69" s="477">
        <v>337.9</v>
      </c>
      <c r="D69" s="478">
        <v>31.57</v>
      </c>
      <c r="E69" s="479">
        <v>768.95999999999992</v>
      </c>
      <c r="F69" s="455"/>
      <c r="G69" s="454"/>
      <c r="H69" s="455"/>
      <c r="I69" s="456"/>
      <c r="J69" s="453"/>
      <c r="K69" s="452"/>
    </row>
    <row r="70" spans="2:11" ht="13.5" thickBot="1">
      <c r="B70" s="463" t="s">
        <v>316</v>
      </c>
      <c r="C70" s="480">
        <f>SUM(C67:D69)/3</f>
        <v>277.43666666666667</v>
      </c>
      <c r="D70" s="481"/>
      <c r="E70" s="459">
        <v>657.21</v>
      </c>
      <c r="F70" s="455"/>
      <c r="G70" s="454"/>
      <c r="H70" s="455"/>
      <c r="I70" s="456"/>
      <c r="J70" s="453"/>
      <c r="K70" s="452"/>
    </row>
    <row r="71" spans="2:11" ht="13.5" thickBot="1">
      <c r="B71" s="482"/>
      <c r="C71" s="483"/>
      <c r="D71" s="483"/>
      <c r="E71" s="483"/>
      <c r="F71" s="455"/>
      <c r="G71" s="454"/>
      <c r="H71" s="455"/>
      <c r="I71" s="456"/>
      <c r="J71" s="453"/>
      <c r="K71" s="452"/>
    </row>
    <row r="72" spans="2:11" ht="13.5" thickBot="1">
      <c r="B72" s="460" t="s">
        <v>310</v>
      </c>
      <c r="C72" s="461" t="s">
        <v>317</v>
      </c>
      <c r="D72" s="461" t="s">
        <v>312</v>
      </c>
      <c r="E72" s="462" t="s">
        <v>14</v>
      </c>
      <c r="F72" s="455"/>
      <c r="G72" s="454"/>
      <c r="H72" s="455"/>
      <c r="I72" s="456"/>
      <c r="J72" s="453"/>
      <c r="K72" s="452"/>
    </row>
    <row r="73" spans="2:11">
      <c r="B73" s="464" t="s">
        <v>318</v>
      </c>
      <c r="C73" s="471">
        <v>301.8</v>
      </c>
      <c r="D73" s="472">
        <v>32.950000000000003</v>
      </c>
      <c r="E73" s="473">
        <v>398.34</v>
      </c>
      <c r="F73" s="455"/>
      <c r="G73" s="454"/>
      <c r="H73" s="455"/>
      <c r="I73" s="456"/>
      <c r="J73" s="453"/>
      <c r="K73" s="452"/>
    </row>
    <row r="74" spans="2:11">
      <c r="B74" s="465" t="s">
        <v>319</v>
      </c>
      <c r="C74" s="474">
        <v>172.9</v>
      </c>
      <c r="D74" s="475">
        <v>32.950000000000003</v>
      </c>
      <c r="E74" s="474">
        <v>519.44000000000005</v>
      </c>
      <c r="F74" s="455"/>
      <c r="G74" s="454"/>
      <c r="H74" s="455"/>
      <c r="I74" s="456"/>
      <c r="J74" s="453"/>
      <c r="K74" s="452"/>
    </row>
    <row r="75" spans="2:11" ht="13.5" thickBot="1">
      <c r="B75" s="465" t="s">
        <v>320</v>
      </c>
      <c r="C75" s="484">
        <v>163.9</v>
      </c>
      <c r="D75" s="485">
        <v>34.57</v>
      </c>
      <c r="E75" s="486">
        <v>519.44000000000005</v>
      </c>
      <c r="F75" s="455"/>
      <c r="G75" s="454"/>
      <c r="H75" s="455"/>
      <c r="I75" s="456"/>
      <c r="J75" s="453"/>
      <c r="K75" s="452"/>
    </row>
    <row r="76" spans="2:11" ht="13.5" thickBot="1">
      <c r="B76" s="467" t="s">
        <v>316</v>
      </c>
      <c r="C76" s="487">
        <f>SUM(C73:D75)/3</f>
        <v>246.35666666666668</v>
      </c>
      <c r="D76" s="488"/>
      <c r="E76" s="459">
        <v>532.19000000000005</v>
      </c>
      <c r="F76" s="455"/>
      <c r="G76" s="454"/>
      <c r="H76" s="455"/>
      <c r="I76" s="456"/>
      <c r="J76" s="453"/>
      <c r="K76" s="452"/>
    </row>
    <row r="77" spans="2:11">
      <c r="B77" s="458"/>
      <c r="C77" s="458"/>
      <c r="D77" s="458"/>
      <c r="E77" s="458"/>
      <c r="F77" s="455"/>
      <c r="G77" s="454"/>
      <c r="H77" s="455"/>
      <c r="I77" s="456"/>
      <c r="J77" s="453"/>
      <c r="K77" s="452"/>
    </row>
    <row r="78" spans="2:11">
      <c r="B78" s="458" t="s">
        <v>321</v>
      </c>
      <c r="C78" s="458"/>
      <c r="D78" s="458"/>
      <c r="E78" s="458"/>
      <c r="F78" s="455"/>
      <c r="G78" s="454"/>
      <c r="H78" s="455"/>
      <c r="I78" s="456"/>
      <c r="J78" s="453"/>
      <c r="K78" s="452"/>
    </row>
    <row r="79" spans="2:11">
      <c r="B79" s="458" t="s">
        <v>323</v>
      </c>
      <c r="C79" s="458"/>
      <c r="D79" s="458"/>
      <c r="E79" s="458"/>
      <c r="F79" s="455"/>
      <c r="G79" s="454"/>
      <c r="H79" s="455"/>
      <c r="I79" s="456"/>
      <c r="J79" s="453"/>
      <c r="K79" s="452"/>
    </row>
    <row r="80" spans="2:11">
      <c r="B80" s="458" t="s">
        <v>324</v>
      </c>
      <c r="C80" s="458"/>
      <c r="D80" s="458"/>
      <c r="E80" s="458"/>
      <c r="F80" s="455"/>
      <c r="G80" s="454"/>
      <c r="H80" s="455"/>
      <c r="I80" s="456"/>
      <c r="J80" s="453"/>
      <c r="K80" s="452"/>
    </row>
    <row r="81" spans="2:14">
      <c r="B81" s="884"/>
      <c r="C81" s="862"/>
      <c r="D81" s="862"/>
      <c r="E81" s="862"/>
      <c r="F81" s="862"/>
      <c r="G81" s="862"/>
      <c r="H81" s="862"/>
      <c r="I81" s="862"/>
      <c r="J81" s="862"/>
      <c r="K81" s="791"/>
    </row>
    <row r="82" spans="2:14">
      <c r="B82" s="8"/>
      <c r="D82"/>
      <c r="G82"/>
      <c r="K82"/>
      <c r="L82" s="327"/>
    </row>
    <row r="83" spans="2:14">
      <c r="D83"/>
      <c r="G83"/>
      <c r="K83"/>
    </row>
    <row r="84" spans="2:14">
      <c r="D84"/>
      <c r="G84"/>
      <c r="K84"/>
      <c r="L84" s="327"/>
    </row>
    <row r="85" spans="2:14">
      <c r="D85"/>
      <c r="G85"/>
      <c r="K85"/>
    </row>
    <row r="86" spans="2:14" ht="13.5" customHeight="1">
      <c r="D86"/>
      <c r="G86"/>
      <c r="K86"/>
      <c r="L86" s="340"/>
      <c r="N86" s="221"/>
    </row>
    <row r="87" spans="2:14" ht="13.5" customHeight="1">
      <c r="D87"/>
      <c r="G87"/>
      <c r="K87"/>
      <c r="N87" s="221"/>
    </row>
    <row r="88" spans="2:14">
      <c r="D88"/>
      <c r="G88"/>
      <c r="K88"/>
      <c r="L88" s="341">
        <f>K63/6</f>
        <v>1017990.4074911388</v>
      </c>
      <c r="M88" s="343" t="s">
        <v>256</v>
      </c>
      <c r="N88" s="327"/>
    </row>
    <row r="89" spans="2:14">
      <c r="C89" s="140"/>
      <c r="G89" s="5"/>
      <c r="L89" s="342"/>
      <c r="M89" s="140"/>
    </row>
    <row r="90" spans="2:14">
      <c r="G90" s="5"/>
      <c r="J90" s="140"/>
    </row>
    <row r="91" spans="2:14" ht="16.5" customHeight="1">
      <c r="G91" s="5"/>
      <c r="J91" s="140"/>
    </row>
    <row r="92" spans="2:14" ht="8.25" customHeight="1">
      <c r="G92" s="5"/>
    </row>
    <row r="93" spans="2:14" ht="15.75" customHeight="1">
      <c r="G93" s="5"/>
    </row>
    <row r="94" spans="2:14" ht="15.75" customHeight="1">
      <c r="G94" s="5"/>
    </row>
    <row r="95" spans="2:14" ht="10.5" customHeight="1">
      <c r="G95" s="5"/>
    </row>
    <row r="96" spans="2:14">
      <c r="G96" s="5"/>
    </row>
    <row r="97" spans="4:13">
      <c r="G97" s="5"/>
    </row>
    <row r="98" spans="4:13">
      <c r="G98" s="5"/>
      <c r="L98" s="140"/>
      <c r="M98" s="311"/>
    </row>
    <row r="99" spans="4:13">
      <c r="G99" s="5"/>
      <c r="L99" s="140"/>
      <c r="M99" s="311"/>
    </row>
    <row r="100" spans="4:13">
      <c r="G100" s="5"/>
    </row>
    <row r="101" spans="4:13">
      <c r="G101" s="5"/>
    </row>
    <row r="102" spans="4:13">
      <c r="D102"/>
      <c r="G102" s="5"/>
      <c r="K102"/>
    </row>
    <row r="103" spans="4:13">
      <c r="D103"/>
      <c r="G103" s="5"/>
      <c r="K103"/>
    </row>
    <row r="104" spans="4:13">
      <c r="D104"/>
      <c r="G104" s="5"/>
      <c r="K104"/>
    </row>
    <row r="105" spans="4:13">
      <c r="D105"/>
      <c r="G105" s="5"/>
      <c r="K105"/>
    </row>
    <row r="106" spans="4:13">
      <c r="D106"/>
      <c r="G106" s="5"/>
      <c r="K106"/>
    </row>
    <row r="107" spans="4:13">
      <c r="D107"/>
      <c r="G107" s="5"/>
      <c r="K107"/>
    </row>
    <row r="108" spans="4:13">
      <c r="D108"/>
      <c r="G108" s="5"/>
      <c r="K108"/>
    </row>
    <row r="109" spans="4:13">
      <c r="D109"/>
      <c r="G109" s="5"/>
      <c r="K109"/>
    </row>
    <row r="110" spans="4:13">
      <c r="D110"/>
      <c r="G110" s="5"/>
      <c r="K110"/>
    </row>
    <row r="111" spans="4:13">
      <c r="D111"/>
      <c r="G111" s="5"/>
      <c r="K111"/>
    </row>
    <row r="112" spans="4:13">
      <c r="D112"/>
      <c r="G112" s="5"/>
      <c r="K112"/>
    </row>
    <row r="113" spans="4:11">
      <c r="D113"/>
      <c r="G113" s="5"/>
      <c r="K113"/>
    </row>
    <row r="114" spans="4:11">
      <c r="D114"/>
      <c r="G114" s="5"/>
      <c r="K114"/>
    </row>
    <row r="115" spans="4:11">
      <c r="D115"/>
      <c r="G115" s="5"/>
      <c r="K115"/>
    </row>
    <row r="116" spans="4:11">
      <c r="D116"/>
      <c r="G116" s="5"/>
      <c r="K116"/>
    </row>
    <row r="117" spans="4:11">
      <c r="D117"/>
      <c r="G117" s="5"/>
      <c r="K117"/>
    </row>
    <row r="118" spans="4:11">
      <c r="D118"/>
      <c r="G118" s="5"/>
      <c r="K118"/>
    </row>
    <row r="119" spans="4:11">
      <c r="D119"/>
      <c r="G119" s="5"/>
      <c r="K119"/>
    </row>
    <row r="120" spans="4:11">
      <c r="D120"/>
      <c r="G120" s="5"/>
      <c r="K120"/>
    </row>
    <row r="121" spans="4:11">
      <c r="D121"/>
      <c r="G121" s="5"/>
      <c r="K121"/>
    </row>
    <row r="122" spans="4:11">
      <c r="D122"/>
      <c r="G122" s="5"/>
      <c r="K122"/>
    </row>
    <row r="123" spans="4:11">
      <c r="D123"/>
      <c r="G123" s="5"/>
      <c r="K123"/>
    </row>
    <row r="124" spans="4:11">
      <c r="D124"/>
      <c r="G124" s="5"/>
      <c r="K124"/>
    </row>
    <row r="125" spans="4:11">
      <c r="D125"/>
      <c r="G125" s="5"/>
      <c r="K125"/>
    </row>
    <row r="126" spans="4:11">
      <c r="D126"/>
      <c r="G126" s="5"/>
      <c r="K126"/>
    </row>
    <row r="127" spans="4:11">
      <c r="D127"/>
      <c r="G127" s="5"/>
      <c r="K127"/>
    </row>
    <row r="128" spans="4:11">
      <c r="D128"/>
      <c r="G128" s="5"/>
      <c r="K128"/>
    </row>
    <row r="129" spans="4:11">
      <c r="D129"/>
      <c r="G129" s="5"/>
      <c r="K129"/>
    </row>
    <row r="130" spans="4:11">
      <c r="D130"/>
      <c r="G130" s="5"/>
      <c r="K130"/>
    </row>
    <row r="131" spans="4:11">
      <c r="D131"/>
      <c r="G131" s="5"/>
      <c r="K131"/>
    </row>
    <row r="132" spans="4:11">
      <c r="D132"/>
      <c r="G132" s="5"/>
      <c r="K132"/>
    </row>
    <row r="133" spans="4:11">
      <c r="D133"/>
      <c r="G133" s="5"/>
      <c r="K133"/>
    </row>
    <row r="134" spans="4:11">
      <c r="D134"/>
      <c r="G134" s="5"/>
      <c r="K134"/>
    </row>
    <row r="135" spans="4:11">
      <c r="D135"/>
      <c r="G135" s="5"/>
      <c r="K135"/>
    </row>
    <row r="136" spans="4:11">
      <c r="D136"/>
      <c r="G136" s="5"/>
      <c r="K136"/>
    </row>
    <row r="137" spans="4:11">
      <c r="D137"/>
      <c r="G137" s="5"/>
      <c r="K137"/>
    </row>
    <row r="138" spans="4:11">
      <c r="D138"/>
      <c r="G138" s="5"/>
      <c r="K138"/>
    </row>
    <row r="139" spans="4:11">
      <c r="D139"/>
      <c r="G139" s="5"/>
      <c r="K139"/>
    </row>
    <row r="140" spans="4:11">
      <c r="D140"/>
      <c r="G140" s="5"/>
      <c r="K140"/>
    </row>
    <row r="141" spans="4:11">
      <c r="D141"/>
      <c r="G141" s="5"/>
      <c r="K141"/>
    </row>
  </sheetData>
  <mergeCells count="5">
    <mergeCell ref="B81:K81"/>
    <mergeCell ref="B2:K2"/>
    <mergeCell ref="B3:K3"/>
    <mergeCell ref="C4:K4"/>
    <mergeCell ref="B32:K32"/>
  </mergeCells>
  <pageMargins left="0.51181102362204722" right="0.51181102362204722" top="0.78740157480314965" bottom="0.78740157480314965" header="0.31496062992125984" footer="0.31496062992125984"/>
  <pageSetup paperSize="9" scale="5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7"/>
  <sheetViews>
    <sheetView zoomScaleNormal="100" zoomScaleSheetLayoutView="100" workbookViewId="0">
      <selection activeCell="N17" sqref="N17"/>
    </sheetView>
  </sheetViews>
  <sheetFormatPr defaultRowHeight="12.75"/>
  <cols>
    <col min="1" max="1" width="4.85546875" style="9" customWidth="1"/>
    <col min="2" max="2" width="38" style="9" bestFit="1" customWidth="1"/>
    <col min="3" max="3" width="9.140625" style="9"/>
    <col min="4" max="4" width="10" style="9" customWidth="1"/>
    <col min="5" max="7" width="9.140625" style="9"/>
    <col min="8" max="8" width="13.7109375" style="9" customWidth="1"/>
    <col min="9" max="9" width="15.7109375" style="9" customWidth="1"/>
    <col min="10" max="12" width="9.140625" style="9"/>
    <col min="13" max="13" width="13.7109375" style="9" customWidth="1"/>
    <col min="14" max="14" width="15.7109375" style="9" customWidth="1"/>
    <col min="15" max="15" width="13.7109375" style="9" customWidth="1"/>
    <col min="16" max="16" width="15.7109375" style="9" customWidth="1"/>
    <col min="17" max="17" width="13.7109375" style="9" customWidth="1"/>
    <col min="18" max="18" width="15.7109375" style="9" customWidth="1"/>
    <col min="19" max="19" width="16.28515625" style="9" customWidth="1"/>
    <col min="20" max="256" width="9.140625" style="9"/>
    <col min="257" max="257" width="4.85546875" style="9" customWidth="1"/>
    <col min="258" max="258" width="32.7109375" style="9" customWidth="1"/>
    <col min="259" max="259" width="9.140625" style="9"/>
    <col min="260" max="260" width="10" style="9" customWidth="1"/>
    <col min="261" max="263" width="9.140625" style="9"/>
    <col min="264" max="264" width="13.7109375" style="9" customWidth="1"/>
    <col min="265" max="265" width="15.7109375" style="9" customWidth="1"/>
    <col min="266" max="268" width="9.140625" style="9"/>
    <col min="269" max="269" width="13.7109375" style="9" customWidth="1"/>
    <col min="270" max="270" width="15.7109375" style="9" customWidth="1"/>
    <col min="271" max="271" width="13.7109375" style="9" customWidth="1"/>
    <col min="272" max="272" width="15.7109375" style="9" customWidth="1"/>
    <col min="273" max="273" width="13.7109375" style="9" customWidth="1"/>
    <col min="274" max="274" width="15.7109375" style="9" customWidth="1"/>
    <col min="275" max="275" width="16.28515625" style="9" customWidth="1"/>
    <col min="276" max="512" width="9.140625" style="9"/>
    <col min="513" max="513" width="4.85546875" style="9" customWidth="1"/>
    <col min="514" max="514" width="32.7109375" style="9" customWidth="1"/>
    <col min="515" max="515" width="9.140625" style="9"/>
    <col min="516" max="516" width="10" style="9" customWidth="1"/>
    <col min="517" max="519" width="9.140625" style="9"/>
    <col min="520" max="520" width="13.7109375" style="9" customWidth="1"/>
    <col min="521" max="521" width="15.7109375" style="9" customWidth="1"/>
    <col min="522" max="524" width="9.140625" style="9"/>
    <col min="525" max="525" width="13.7109375" style="9" customWidth="1"/>
    <col min="526" max="526" width="15.7109375" style="9" customWidth="1"/>
    <col min="527" max="527" width="13.7109375" style="9" customWidth="1"/>
    <col min="528" max="528" width="15.7109375" style="9" customWidth="1"/>
    <col min="529" max="529" width="13.7109375" style="9" customWidth="1"/>
    <col min="530" max="530" width="15.7109375" style="9" customWidth="1"/>
    <col min="531" max="531" width="16.28515625" style="9" customWidth="1"/>
    <col min="532" max="768" width="9.140625" style="9"/>
    <col min="769" max="769" width="4.85546875" style="9" customWidth="1"/>
    <col min="770" max="770" width="32.7109375" style="9" customWidth="1"/>
    <col min="771" max="771" width="9.140625" style="9"/>
    <col min="772" max="772" width="10" style="9" customWidth="1"/>
    <col min="773" max="775" width="9.140625" style="9"/>
    <col min="776" max="776" width="13.7109375" style="9" customWidth="1"/>
    <col min="777" max="777" width="15.7109375" style="9" customWidth="1"/>
    <col min="778" max="780" width="9.140625" style="9"/>
    <col min="781" max="781" width="13.7109375" style="9" customWidth="1"/>
    <col min="782" max="782" width="15.7109375" style="9" customWidth="1"/>
    <col min="783" max="783" width="13.7109375" style="9" customWidth="1"/>
    <col min="784" max="784" width="15.7109375" style="9" customWidth="1"/>
    <col min="785" max="785" width="13.7109375" style="9" customWidth="1"/>
    <col min="786" max="786" width="15.7109375" style="9" customWidth="1"/>
    <col min="787" max="787" width="16.28515625" style="9" customWidth="1"/>
    <col min="788" max="1024" width="9.140625" style="9"/>
    <col min="1025" max="1025" width="4.85546875" style="9" customWidth="1"/>
    <col min="1026" max="1026" width="32.7109375" style="9" customWidth="1"/>
    <col min="1027" max="1027" width="9.140625" style="9"/>
    <col min="1028" max="1028" width="10" style="9" customWidth="1"/>
    <col min="1029" max="1031" width="9.140625" style="9"/>
    <col min="1032" max="1032" width="13.7109375" style="9" customWidth="1"/>
    <col min="1033" max="1033" width="15.7109375" style="9" customWidth="1"/>
    <col min="1034" max="1036" width="9.140625" style="9"/>
    <col min="1037" max="1037" width="13.7109375" style="9" customWidth="1"/>
    <col min="1038" max="1038" width="15.7109375" style="9" customWidth="1"/>
    <col min="1039" max="1039" width="13.7109375" style="9" customWidth="1"/>
    <col min="1040" max="1040" width="15.7109375" style="9" customWidth="1"/>
    <col min="1041" max="1041" width="13.7109375" style="9" customWidth="1"/>
    <col min="1042" max="1042" width="15.7109375" style="9" customWidth="1"/>
    <col min="1043" max="1043" width="16.28515625" style="9" customWidth="1"/>
    <col min="1044" max="1280" width="9.140625" style="9"/>
    <col min="1281" max="1281" width="4.85546875" style="9" customWidth="1"/>
    <col min="1282" max="1282" width="32.7109375" style="9" customWidth="1"/>
    <col min="1283" max="1283" width="9.140625" style="9"/>
    <col min="1284" max="1284" width="10" style="9" customWidth="1"/>
    <col min="1285" max="1287" width="9.140625" style="9"/>
    <col min="1288" max="1288" width="13.7109375" style="9" customWidth="1"/>
    <col min="1289" max="1289" width="15.7109375" style="9" customWidth="1"/>
    <col min="1290" max="1292" width="9.140625" style="9"/>
    <col min="1293" max="1293" width="13.7109375" style="9" customWidth="1"/>
    <col min="1294" max="1294" width="15.7109375" style="9" customWidth="1"/>
    <col min="1295" max="1295" width="13.7109375" style="9" customWidth="1"/>
    <col min="1296" max="1296" width="15.7109375" style="9" customWidth="1"/>
    <col min="1297" max="1297" width="13.7109375" style="9" customWidth="1"/>
    <col min="1298" max="1298" width="15.7109375" style="9" customWidth="1"/>
    <col min="1299" max="1299" width="16.28515625" style="9" customWidth="1"/>
    <col min="1300" max="1536" width="9.140625" style="9"/>
    <col min="1537" max="1537" width="4.85546875" style="9" customWidth="1"/>
    <col min="1538" max="1538" width="32.7109375" style="9" customWidth="1"/>
    <col min="1539" max="1539" width="9.140625" style="9"/>
    <col min="1540" max="1540" width="10" style="9" customWidth="1"/>
    <col min="1541" max="1543" width="9.140625" style="9"/>
    <col min="1544" max="1544" width="13.7109375" style="9" customWidth="1"/>
    <col min="1545" max="1545" width="15.7109375" style="9" customWidth="1"/>
    <col min="1546" max="1548" width="9.140625" style="9"/>
    <col min="1549" max="1549" width="13.7109375" style="9" customWidth="1"/>
    <col min="1550" max="1550" width="15.7109375" style="9" customWidth="1"/>
    <col min="1551" max="1551" width="13.7109375" style="9" customWidth="1"/>
    <col min="1552" max="1552" width="15.7109375" style="9" customWidth="1"/>
    <col min="1553" max="1553" width="13.7109375" style="9" customWidth="1"/>
    <col min="1554" max="1554" width="15.7109375" style="9" customWidth="1"/>
    <col min="1555" max="1555" width="16.28515625" style="9" customWidth="1"/>
    <col min="1556" max="1792" width="9.140625" style="9"/>
    <col min="1793" max="1793" width="4.85546875" style="9" customWidth="1"/>
    <col min="1794" max="1794" width="32.7109375" style="9" customWidth="1"/>
    <col min="1795" max="1795" width="9.140625" style="9"/>
    <col min="1796" max="1796" width="10" style="9" customWidth="1"/>
    <col min="1797" max="1799" width="9.140625" style="9"/>
    <col min="1800" max="1800" width="13.7109375" style="9" customWidth="1"/>
    <col min="1801" max="1801" width="15.7109375" style="9" customWidth="1"/>
    <col min="1802" max="1804" width="9.140625" style="9"/>
    <col min="1805" max="1805" width="13.7109375" style="9" customWidth="1"/>
    <col min="1806" max="1806" width="15.7109375" style="9" customWidth="1"/>
    <col min="1807" max="1807" width="13.7109375" style="9" customWidth="1"/>
    <col min="1808" max="1808" width="15.7109375" style="9" customWidth="1"/>
    <col min="1809" max="1809" width="13.7109375" style="9" customWidth="1"/>
    <col min="1810" max="1810" width="15.7109375" style="9" customWidth="1"/>
    <col min="1811" max="1811" width="16.28515625" style="9" customWidth="1"/>
    <col min="1812" max="2048" width="9.140625" style="9"/>
    <col min="2049" max="2049" width="4.85546875" style="9" customWidth="1"/>
    <col min="2050" max="2050" width="32.7109375" style="9" customWidth="1"/>
    <col min="2051" max="2051" width="9.140625" style="9"/>
    <col min="2052" max="2052" width="10" style="9" customWidth="1"/>
    <col min="2053" max="2055" width="9.140625" style="9"/>
    <col min="2056" max="2056" width="13.7109375" style="9" customWidth="1"/>
    <col min="2057" max="2057" width="15.7109375" style="9" customWidth="1"/>
    <col min="2058" max="2060" width="9.140625" style="9"/>
    <col min="2061" max="2061" width="13.7109375" style="9" customWidth="1"/>
    <col min="2062" max="2062" width="15.7109375" style="9" customWidth="1"/>
    <col min="2063" max="2063" width="13.7109375" style="9" customWidth="1"/>
    <col min="2064" max="2064" width="15.7109375" style="9" customWidth="1"/>
    <col min="2065" max="2065" width="13.7109375" style="9" customWidth="1"/>
    <col min="2066" max="2066" width="15.7109375" style="9" customWidth="1"/>
    <col min="2067" max="2067" width="16.28515625" style="9" customWidth="1"/>
    <col min="2068" max="2304" width="9.140625" style="9"/>
    <col min="2305" max="2305" width="4.85546875" style="9" customWidth="1"/>
    <col min="2306" max="2306" width="32.7109375" style="9" customWidth="1"/>
    <col min="2307" max="2307" width="9.140625" style="9"/>
    <col min="2308" max="2308" width="10" style="9" customWidth="1"/>
    <col min="2309" max="2311" width="9.140625" style="9"/>
    <col min="2312" max="2312" width="13.7109375" style="9" customWidth="1"/>
    <col min="2313" max="2313" width="15.7109375" style="9" customWidth="1"/>
    <col min="2314" max="2316" width="9.140625" style="9"/>
    <col min="2317" max="2317" width="13.7109375" style="9" customWidth="1"/>
    <col min="2318" max="2318" width="15.7109375" style="9" customWidth="1"/>
    <col min="2319" max="2319" width="13.7109375" style="9" customWidth="1"/>
    <col min="2320" max="2320" width="15.7109375" style="9" customWidth="1"/>
    <col min="2321" max="2321" width="13.7109375" style="9" customWidth="1"/>
    <col min="2322" max="2322" width="15.7109375" style="9" customWidth="1"/>
    <col min="2323" max="2323" width="16.28515625" style="9" customWidth="1"/>
    <col min="2324" max="2560" width="9.140625" style="9"/>
    <col min="2561" max="2561" width="4.85546875" style="9" customWidth="1"/>
    <col min="2562" max="2562" width="32.7109375" style="9" customWidth="1"/>
    <col min="2563" max="2563" width="9.140625" style="9"/>
    <col min="2564" max="2564" width="10" style="9" customWidth="1"/>
    <col min="2565" max="2567" width="9.140625" style="9"/>
    <col min="2568" max="2568" width="13.7109375" style="9" customWidth="1"/>
    <col min="2569" max="2569" width="15.7109375" style="9" customWidth="1"/>
    <col min="2570" max="2572" width="9.140625" style="9"/>
    <col min="2573" max="2573" width="13.7109375" style="9" customWidth="1"/>
    <col min="2574" max="2574" width="15.7109375" style="9" customWidth="1"/>
    <col min="2575" max="2575" width="13.7109375" style="9" customWidth="1"/>
    <col min="2576" max="2576" width="15.7109375" style="9" customWidth="1"/>
    <col min="2577" max="2577" width="13.7109375" style="9" customWidth="1"/>
    <col min="2578" max="2578" width="15.7109375" style="9" customWidth="1"/>
    <col min="2579" max="2579" width="16.28515625" style="9" customWidth="1"/>
    <col min="2580" max="2816" width="9.140625" style="9"/>
    <col min="2817" max="2817" width="4.85546875" style="9" customWidth="1"/>
    <col min="2818" max="2818" width="32.7109375" style="9" customWidth="1"/>
    <col min="2819" max="2819" width="9.140625" style="9"/>
    <col min="2820" max="2820" width="10" style="9" customWidth="1"/>
    <col min="2821" max="2823" width="9.140625" style="9"/>
    <col min="2824" max="2824" width="13.7109375" style="9" customWidth="1"/>
    <col min="2825" max="2825" width="15.7109375" style="9" customWidth="1"/>
    <col min="2826" max="2828" width="9.140625" style="9"/>
    <col min="2829" max="2829" width="13.7109375" style="9" customWidth="1"/>
    <col min="2830" max="2830" width="15.7109375" style="9" customWidth="1"/>
    <col min="2831" max="2831" width="13.7109375" style="9" customWidth="1"/>
    <col min="2832" max="2832" width="15.7109375" style="9" customWidth="1"/>
    <col min="2833" max="2833" width="13.7109375" style="9" customWidth="1"/>
    <col min="2834" max="2834" width="15.7109375" style="9" customWidth="1"/>
    <col min="2835" max="2835" width="16.28515625" style="9" customWidth="1"/>
    <col min="2836" max="3072" width="9.140625" style="9"/>
    <col min="3073" max="3073" width="4.85546875" style="9" customWidth="1"/>
    <col min="3074" max="3074" width="32.7109375" style="9" customWidth="1"/>
    <col min="3075" max="3075" width="9.140625" style="9"/>
    <col min="3076" max="3076" width="10" style="9" customWidth="1"/>
    <col min="3077" max="3079" width="9.140625" style="9"/>
    <col min="3080" max="3080" width="13.7109375" style="9" customWidth="1"/>
    <col min="3081" max="3081" width="15.7109375" style="9" customWidth="1"/>
    <col min="3082" max="3084" width="9.140625" style="9"/>
    <col min="3085" max="3085" width="13.7109375" style="9" customWidth="1"/>
    <col min="3086" max="3086" width="15.7109375" style="9" customWidth="1"/>
    <col min="3087" max="3087" width="13.7109375" style="9" customWidth="1"/>
    <col min="3088" max="3088" width="15.7109375" style="9" customWidth="1"/>
    <col min="3089" max="3089" width="13.7109375" style="9" customWidth="1"/>
    <col min="3090" max="3090" width="15.7109375" style="9" customWidth="1"/>
    <col min="3091" max="3091" width="16.28515625" style="9" customWidth="1"/>
    <col min="3092" max="3328" width="9.140625" style="9"/>
    <col min="3329" max="3329" width="4.85546875" style="9" customWidth="1"/>
    <col min="3330" max="3330" width="32.7109375" style="9" customWidth="1"/>
    <col min="3331" max="3331" width="9.140625" style="9"/>
    <col min="3332" max="3332" width="10" style="9" customWidth="1"/>
    <col min="3333" max="3335" width="9.140625" style="9"/>
    <col min="3336" max="3336" width="13.7109375" style="9" customWidth="1"/>
    <col min="3337" max="3337" width="15.7109375" style="9" customWidth="1"/>
    <col min="3338" max="3340" width="9.140625" style="9"/>
    <col min="3341" max="3341" width="13.7109375" style="9" customWidth="1"/>
    <col min="3342" max="3342" width="15.7109375" style="9" customWidth="1"/>
    <col min="3343" max="3343" width="13.7109375" style="9" customWidth="1"/>
    <col min="3344" max="3344" width="15.7109375" style="9" customWidth="1"/>
    <col min="3345" max="3345" width="13.7109375" style="9" customWidth="1"/>
    <col min="3346" max="3346" width="15.7109375" style="9" customWidth="1"/>
    <col min="3347" max="3347" width="16.28515625" style="9" customWidth="1"/>
    <col min="3348" max="3584" width="9.140625" style="9"/>
    <col min="3585" max="3585" width="4.85546875" style="9" customWidth="1"/>
    <col min="3586" max="3586" width="32.7109375" style="9" customWidth="1"/>
    <col min="3587" max="3587" width="9.140625" style="9"/>
    <col min="3588" max="3588" width="10" style="9" customWidth="1"/>
    <col min="3589" max="3591" width="9.140625" style="9"/>
    <col min="3592" max="3592" width="13.7109375" style="9" customWidth="1"/>
    <col min="3593" max="3593" width="15.7109375" style="9" customWidth="1"/>
    <col min="3594" max="3596" width="9.140625" style="9"/>
    <col min="3597" max="3597" width="13.7109375" style="9" customWidth="1"/>
    <col min="3598" max="3598" width="15.7109375" style="9" customWidth="1"/>
    <col min="3599" max="3599" width="13.7109375" style="9" customWidth="1"/>
    <col min="3600" max="3600" width="15.7109375" style="9" customWidth="1"/>
    <col min="3601" max="3601" width="13.7109375" style="9" customWidth="1"/>
    <col min="3602" max="3602" width="15.7109375" style="9" customWidth="1"/>
    <col min="3603" max="3603" width="16.28515625" style="9" customWidth="1"/>
    <col min="3604" max="3840" width="9.140625" style="9"/>
    <col min="3841" max="3841" width="4.85546875" style="9" customWidth="1"/>
    <col min="3842" max="3842" width="32.7109375" style="9" customWidth="1"/>
    <col min="3843" max="3843" width="9.140625" style="9"/>
    <col min="3844" max="3844" width="10" style="9" customWidth="1"/>
    <col min="3845" max="3847" width="9.140625" style="9"/>
    <col min="3848" max="3848" width="13.7109375" style="9" customWidth="1"/>
    <col min="3849" max="3849" width="15.7109375" style="9" customWidth="1"/>
    <col min="3850" max="3852" width="9.140625" style="9"/>
    <col min="3853" max="3853" width="13.7109375" style="9" customWidth="1"/>
    <col min="3854" max="3854" width="15.7109375" style="9" customWidth="1"/>
    <col min="3855" max="3855" width="13.7109375" style="9" customWidth="1"/>
    <col min="3856" max="3856" width="15.7109375" style="9" customWidth="1"/>
    <col min="3857" max="3857" width="13.7109375" style="9" customWidth="1"/>
    <col min="3858" max="3858" width="15.7109375" style="9" customWidth="1"/>
    <col min="3859" max="3859" width="16.28515625" style="9" customWidth="1"/>
    <col min="3860" max="4096" width="9.140625" style="9"/>
    <col min="4097" max="4097" width="4.85546875" style="9" customWidth="1"/>
    <col min="4098" max="4098" width="32.7109375" style="9" customWidth="1"/>
    <col min="4099" max="4099" width="9.140625" style="9"/>
    <col min="4100" max="4100" width="10" style="9" customWidth="1"/>
    <col min="4101" max="4103" width="9.140625" style="9"/>
    <col min="4104" max="4104" width="13.7109375" style="9" customWidth="1"/>
    <col min="4105" max="4105" width="15.7109375" style="9" customWidth="1"/>
    <col min="4106" max="4108" width="9.140625" style="9"/>
    <col min="4109" max="4109" width="13.7109375" style="9" customWidth="1"/>
    <col min="4110" max="4110" width="15.7109375" style="9" customWidth="1"/>
    <col min="4111" max="4111" width="13.7109375" style="9" customWidth="1"/>
    <col min="4112" max="4112" width="15.7109375" style="9" customWidth="1"/>
    <col min="4113" max="4113" width="13.7109375" style="9" customWidth="1"/>
    <col min="4114" max="4114" width="15.7109375" style="9" customWidth="1"/>
    <col min="4115" max="4115" width="16.28515625" style="9" customWidth="1"/>
    <col min="4116" max="4352" width="9.140625" style="9"/>
    <col min="4353" max="4353" width="4.85546875" style="9" customWidth="1"/>
    <col min="4354" max="4354" width="32.7109375" style="9" customWidth="1"/>
    <col min="4355" max="4355" width="9.140625" style="9"/>
    <col min="4356" max="4356" width="10" style="9" customWidth="1"/>
    <col min="4357" max="4359" width="9.140625" style="9"/>
    <col min="4360" max="4360" width="13.7109375" style="9" customWidth="1"/>
    <col min="4361" max="4361" width="15.7109375" style="9" customWidth="1"/>
    <col min="4362" max="4364" width="9.140625" style="9"/>
    <col min="4365" max="4365" width="13.7109375" style="9" customWidth="1"/>
    <col min="4366" max="4366" width="15.7109375" style="9" customWidth="1"/>
    <col min="4367" max="4367" width="13.7109375" style="9" customWidth="1"/>
    <col min="4368" max="4368" width="15.7109375" style="9" customWidth="1"/>
    <col min="4369" max="4369" width="13.7109375" style="9" customWidth="1"/>
    <col min="4370" max="4370" width="15.7109375" style="9" customWidth="1"/>
    <col min="4371" max="4371" width="16.28515625" style="9" customWidth="1"/>
    <col min="4372" max="4608" width="9.140625" style="9"/>
    <col min="4609" max="4609" width="4.85546875" style="9" customWidth="1"/>
    <col min="4610" max="4610" width="32.7109375" style="9" customWidth="1"/>
    <col min="4611" max="4611" width="9.140625" style="9"/>
    <col min="4612" max="4612" width="10" style="9" customWidth="1"/>
    <col min="4613" max="4615" width="9.140625" style="9"/>
    <col min="4616" max="4616" width="13.7109375" style="9" customWidth="1"/>
    <col min="4617" max="4617" width="15.7109375" style="9" customWidth="1"/>
    <col min="4618" max="4620" width="9.140625" style="9"/>
    <col min="4621" max="4621" width="13.7109375" style="9" customWidth="1"/>
    <col min="4622" max="4622" width="15.7109375" style="9" customWidth="1"/>
    <col min="4623" max="4623" width="13.7109375" style="9" customWidth="1"/>
    <col min="4624" max="4624" width="15.7109375" style="9" customWidth="1"/>
    <col min="4625" max="4625" width="13.7109375" style="9" customWidth="1"/>
    <col min="4626" max="4626" width="15.7109375" style="9" customWidth="1"/>
    <col min="4627" max="4627" width="16.28515625" style="9" customWidth="1"/>
    <col min="4628" max="4864" width="9.140625" style="9"/>
    <col min="4865" max="4865" width="4.85546875" style="9" customWidth="1"/>
    <col min="4866" max="4866" width="32.7109375" style="9" customWidth="1"/>
    <col min="4867" max="4867" width="9.140625" style="9"/>
    <col min="4868" max="4868" width="10" style="9" customWidth="1"/>
    <col min="4869" max="4871" width="9.140625" style="9"/>
    <col min="4872" max="4872" width="13.7109375" style="9" customWidth="1"/>
    <col min="4873" max="4873" width="15.7109375" style="9" customWidth="1"/>
    <col min="4874" max="4876" width="9.140625" style="9"/>
    <col min="4877" max="4877" width="13.7109375" style="9" customWidth="1"/>
    <col min="4878" max="4878" width="15.7109375" style="9" customWidth="1"/>
    <col min="4879" max="4879" width="13.7109375" style="9" customWidth="1"/>
    <col min="4880" max="4880" width="15.7109375" style="9" customWidth="1"/>
    <col min="4881" max="4881" width="13.7109375" style="9" customWidth="1"/>
    <col min="4882" max="4882" width="15.7109375" style="9" customWidth="1"/>
    <col min="4883" max="4883" width="16.28515625" style="9" customWidth="1"/>
    <col min="4884" max="5120" width="9.140625" style="9"/>
    <col min="5121" max="5121" width="4.85546875" style="9" customWidth="1"/>
    <col min="5122" max="5122" width="32.7109375" style="9" customWidth="1"/>
    <col min="5123" max="5123" width="9.140625" style="9"/>
    <col min="5124" max="5124" width="10" style="9" customWidth="1"/>
    <col min="5125" max="5127" width="9.140625" style="9"/>
    <col min="5128" max="5128" width="13.7109375" style="9" customWidth="1"/>
    <col min="5129" max="5129" width="15.7109375" style="9" customWidth="1"/>
    <col min="5130" max="5132" width="9.140625" style="9"/>
    <col min="5133" max="5133" width="13.7109375" style="9" customWidth="1"/>
    <col min="5134" max="5134" width="15.7109375" style="9" customWidth="1"/>
    <col min="5135" max="5135" width="13.7109375" style="9" customWidth="1"/>
    <col min="5136" max="5136" width="15.7109375" style="9" customWidth="1"/>
    <col min="5137" max="5137" width="13.7109375" style="9" customWidth="1"/>
    <col min="5138" max="5138" width="15.7109375" style="9" customWidth="1"/>
    <col min="5139" max="5139" width="16.28515625" style="9" customWidth="1"/>
    <col min="5140" max="5376" width="9.140625" style="9"/>
    <col min="5377" max="5377" width="4.85546875" style="9" customWidth="1"/>
    <col min="5378" max="5378" width="32.7109375" style="9" customWidth="1"/>
    <col min="5379" max="5379" width="9.140625" style="9"/>
    <col min="5380" max="5380" width="10" style="9" customWidth="1"/>
    <col min="5381" max="5383" width="9.140625" style="9"/>
    <col min="5384" max="5384" width="13.7109375" style="9" customWidth="1"/>
    <col min="5385" max="5385" width="15.7109375" style="9" customWidth="1"/>
    <col min="5386" max="5388" width="9.140625" style="9"/>
    <col min="5389" max="5389" width="13.7109375" style="9" customWidth="1"/>
    <col min="5390" max="5390" width="15.7109375" style="9" customWidth="1"/>
    <col min="5391" max="5391" width="13.7109375" style="9" customWidth="1"/>
    <col min="5392" max="5392" width="15.7109375" style="9" customWidth="1"/>
    <col min="5393" max="5393" width="13.7109375" style="9" customWidth="1"/>
    <col min="5394" max="5394" width="15.7109375" style="9" customWidth="1"/>
    <col min="5395" max="5395" width="16.28515625" style="9" customWidth="1"/>
    <col min="5396" max="5632" width="9.140625" style="9"/>
    <col min="5633" max="5633" width="4.85546875" style="9" customWidth="1"/>
    <col min="5634" max="5634" width="32.7109375" style="9" customWidth="1"/>
    <col min="5635" max="5635" width="9.140625" style="9"/>
    <col min="5636" max="5636" width="10" style="9" customWidth="1"/>
    <col min="5637" max="5639" width="9.140625" style="9"/>
    <col min="5640" max="5640" width="13.7109375" style="9" customWidth="1"/>
    <col min="5641" max="5641" width="15.7109375" style="9" customWidth="1"/>
    <col min="5642" max="5644" width="9.140625" style="9"/>
    <col min="5645" max="5645" width="13.7109375" style="9" customWidth="1"/>
    <col min="5646" max="5646" width="15.7109375" style="9" customWidth="1"/>
    <col min="5647" max="5647" width="13.7109375" style="9" customWidth="1"/>
    <col min="5648" max="5648" width="15.7109375" style="9" customWidth="1"/>
    <col min="5649" max="5649" width="13.7109375" style="9" customWidth="1"/>
    <col min="5650" max="5650" width="15.7109375" style="9" customWidth="1"/>
    <col min="5651" max="5651" width="16.28515625" style="9" customWidth="1"/>
    <col min="5652" max="5888" width="9.140625" style="9"/>
    <col min="5889" max="5889" width="4.85546875" style="9" customWidth="1"/>
    <col min="5890" max="5890" width="32.7109375" style="9" customWidth="1"/>
    <col min="5891" max="5891" width="9.140625" style="9"/>
    <col min="5892" max="5892" width="10" style="9" customWidth="1"/>
    <col min="5893" max="5895" width="9.140625" style="9"/>
    <col min="5896" max="5896" width="13.7109375" style="9" customWidth="1"/>
    <col min="5897" max="5897" width="15.7109375" style="9" customWidth="1"/>
    <col min="5898" max="5900" width="9.140625" style="9"/>
    <col min="5901" max="5901" width="13.7109375" style="9" customWidth="1"/>
    <col min="5902" max="5902" width="15.7109375" style="9" customWidth="1"/>
    <col min="5903" max="5903" width="13.7109375" style="9" customWidth="1"/>
    <col min="5904" max="5904" width="15.7109375" style="9" customWidth="1"/>
    <col min="5905" max="5905" width="13.7109375" style="9" customWidth="1"/>
    <col min="5906" max="5906" width="15.7109375" style="9" customWidth="1"/>
    <col min="5907" max="5907" width="16.28515625" style="9" customWidth="1"/>
    <col min="5908" max="6144" width="9.140625" style="9"/>
    <col min="6145" max="6145" width="4.85546875" style="9" customWidth="1"/>
    <col min="6146" max="6146" width="32.7109375" style="9" customWidth="1"/>
    <col min="6147" max="6147" width="9.140625" style="9"/>
    <col min="6148" max="6148" width="10" style="9" customWidth="1"/>
    <col min="6149" max="6151" width="9.140625" style="9"/>
    <col min="6152" max="6152" width="13.7109375" style="9" customWidth="1"/>
    <col min="6153" max="6153" width="15.7109375" style="9" customWidth="1"/>
    <col min="6154" max="6156" width="9.140625" style="9"/>
    <col min="6157" max="6157" width="13.7109375" style="9" customWidth="1"/>
    <col min="6158" max="6158" width="15.7109375" style="9" customWidth="1"/>
    <col min="6159" max="6159" width="13.7109375" style="9" customWidth="1"/>
    <col min="6160" max="6160" width="15.7109375" style="9" customWidth="1"/>
    <col min="6161" max="6161" width="13.7109375" style="9" customWidth="1"/>
    <col min="6162" max="6162" width="15.7109375" style="9" customWidth="1"/>
    <col min="6163" max="6163" width="16.28515625" style="9" customWidth="1"/>
    <col min="6164" max="6400" width="9.140625" style="9"/>
    <col min="6401" max="6401" width="4.85546875" style="9" customWidth="1"/>
    <col min="6402" max="6402" width="32.7109375" style="9" customWidth="1"/>
    <col min="6403" max="6403" width="9.140625" style="9"/>
    <col min="6404" max="6404" width="10" style="9" customWidth="1"/>
    <col min="6405" max="6407" width="9.140625" style="9"/>
    <col min="6408" max="6408" width="13.7109375" style="9" customWidth="1"/>
    <col min="6409" max="6409" width="15.7109375" style="9" customWidth="1"/>
    <col min="6410" max="6412" width="9.140625" style="9"/>
    <col min="6413" max="6413" width="13.7109375" style="9" customWidth="1"/>
    <col min="6414" max="6414" width="15.7109375" style="9" customWidth="1"/>
    <col min="6415" max="6415" width="13.7109375" style="9" customWidth="1"/>
    <col min="6416" max="6416" width="15.7109375" style="9" customWidth="1"/>
    <col min="6417" max="6417" width="13.7109375" style="9" customWidth="1"/>
    <col min="6418" max="6418" width="15.7109375" style="9" customWidth="1"/>
    <col min="6419" max="6419" width="16.28515625" style="9" customWidth="1"/>
    <col min="6420" max="6656" width="9.140625" style="9"/>
    <col min="6657" max="6657" width="4.85546875" style="9" customWidth="1"/>
    <col min="6658" max="6658" width="32.7109375" style="9" customWidth="1"/>
    <col min="6659" max="6659" width="9.140625" style="9"/>
    <col min="6660" max="6660" width="10" style="9" customWidth="1"/>
    <col min="6661" max="6663" width="9.140625" style="9"/>
    <col min="6664" max="6664" width="13.7109375" style="9" customWidth="1"/>
    <col min="6665" max="6665" width="15.7109375" style="9" customWidth="1"/>
    <col min="6666" max="6668" width="9.140625" style="9"/>
    <col min="6669" max="6669" width="13.7109375" style="9" customWidth="1"/>
    <col min="6670" max="6670" width="15.7109375" style="9" customWidth="1"/>
    <col min="6671" max="6671" width="13.7109375" style="9" customWidth="1"/>
    <col min="6672" max="6672" width="15.7109375" style="9" customWidth="1"/>
    <col min="6673" max="6673" width="13.7109375" style="9" customWidth="1"/>
    <col min="6674" max="6674" width="15.7109375" style="9" customWidth="1"/>
    <col min="6675" max="6675" width="16.28515625" style="9" customWidth="1"/>
    <col min="6676" max="6912" width="9.140625" style="9"/>
    <col min="6913" max="6913" width="4.85546875" style="9" customWidth="1"/>
    <col min="6914" max="6914" width="32.7109375" style="9" customWidth="1"/>
    <col min="6915" max="6915" width="9.140625" style="9"/>
    <col min="6916" max="6916" width="10" style="9" customWidth="1"/>
    <col min="6917" max="6919" width="9.140625" style="9"/>
    <col min="6920" max="6920" width="13.7109375" style="9" customWidth="1"/>
    <col min="6921" max="6921" width="15.7109375" style="9" customWidth="1"/>
    <col min="6922" max="6924" width="9.140625" style="9"/>
    <col min="6925" max="6925" width="13.7109375" style="9" customWidth="1"/>
    <col min="6926" max="6926" width="15.7109375" style="9" customWidth="1"/>
    <col min="6927" max="6927" width="13.7109375" style="9" customWidth="1"/>
    <col min="6928" max="6928" width="15.7109375" style="9" customWidth="1"/>
    <col min="6929" max="6929" width="13.7109375" style="9" customWidth="1"/>
    <col min="6930" max="6930" width="15.7109375" style="9" customWidth="1"/>
    <col min="6931" max="6931" width="16.28515625" style="9" customWidth="1"/>
    <col min="6932" max="7168" width="9.140625" style="9"/>
    <col min="7169" max="7169" width="4.85546875" style="9" customWidth="1"/>
    <col min="7170" max="7170" width="32.7109375" style="9" customWidth="1"/>
    <col min="7171" max="7171" width="9.140625" style="9"/>
    <col min="7172" max="7172" width="10" style="9" customWidth="1"/>
    <col min="7173" max="7175" width="9.140625" style="9"/>
    <col min="7176" max="7176" width="13.7109375" style="9" customWidth="1"/>
    <col min="7177" max="7177" width="15.7109375" style="9" customWidth="1"/>
    <col min="7178" max="7180" width="9.140625" style="9"/>
    <col min="7181" max="7181" width="13.7109375" style="9" customWidth="1"/>
    <col min="7182" max="7182" width="15.7109375" style="9" customWidth="1"/>
    <col min="7183" max="7183" width="13.7109375" style="9" customWidth="1"/>
    <col min="7184" max="7184" width="15.7109375" style="9" customWidth="1"/>
    <col min="7185" max="7185" width="13.7109375" style="9" customWidth="1"/>
    <col min="7186" max="7186" width="15.7109375" style="9" customWidth="1"/>
    <col min="7187" max="7187" width="16.28515625" style="9" customWidth="1"/>
    <col min="7188" max="7424" width="9.140625" style="9"/>
    <col min="7425" max="7425" width="4.85546875" style="9" customWidth="1"/>
    <col min="7426" max="7426" width="32.7109375" style="9" customWidth="1"/>
    <col min="7427" max="7427" width="9.140625" style="9"/>
    <col min="7428" max="7428" width="10" style="9" customWidth="1"/>
    <col min="7429" max="7431" width="9.140625" style="9"/>
    <col min="7432" max="7432" width="13.7109375" style="9" customWidth="1"/>
    <col min="7433" max="7433" width="15.7109375" style="9" customWidth="1"/>
    <col min="7434" max="7436" width="9.140625" style="9"/>
    <col min="7437" max="7437" width="13.7109375" style="9" customWidth="1"/>
    <col min="7438" max="7438" width="15.7109375" style="9" customWidth="1"/>
    <col min="7439" max="7439" width="13.7109375" style="9" customWidth="1"/>
    <col min="7440" max="7440" width="15.7109375" style="9" customWidth="1"/>
    <col min="7441" max="7441" width="13.7109375" style="9" customWidth="1"/>
    <col min="7442" max="7442" width="15.7109375" style="9" customWidth="1"/>
    <col min="7443" max="7443" width="16.28515625" style="9" customWidth="1"/>
    <col min="7444" max="7680" width="9.140625" style="9"/>
    <col min="7681" max="7681" width="4.85546875" style="9" customWidth="1"/>
    <col min="7682" max="7682" width="32.7109375" style="9" customWidth="1"/>
    <col min="7683" max="7683" width="9.140625" style="9"/>
    <col min="7684" max="7684" width="10" style="9" customWidth="1"/>
    <col min="7685" max="7687" width="9.140625" style="9"/>
    <col min="7688" max="7688" width="13.7109375" style="9" customWidth="1"/>
    <col min="7689" max="7689" width="15.7109375" style="9" customWidth="1"/>
    <col min="7690" max="7692" width="9.140625" style="9"/>
    <col min="7693" max="7693" width="13.7109375" style="9" customWidth="1"/>
    <col min="7694" max="7694" width="15.7109375" style="9" customWidth="1"/>
    <col min="7695" max="7695" width="13.7109375" style="9" customWidth="1"/>
    <col min="7696" max="7696" width="15.7109375" style="9" customWidth="1"/>
    <col min="7697" max="7697" width="13.7109375" style="9" customWidth="1"/>
    <col min="7698" max="7698" width="15.7109375" style="9" customWidth="1"/>
    <col min="7699" max="7699" width="16.28515625" style="9" customWidth="1"/>
    <col min="7700" max="7936" width="9.140625" style="9"/>
    <col min="7937" max="7937" width="4.85546875" style="9" customWidth="1"/>
    <col min="7938" max="7938" width="32.7109375" style="9" customWidth="1"/>
    <col min="7939" max="7939" width="9.140625" style="9"/>
    <col min="7940" max="7940" width="10" style="9" customWidth="1"/>
    <col min="7941" max="7943" width="9.140625" style="9"/>
    <col min="7944" max="7944" width="13.7109375" style="9" customWidth="1"/>
    <col min="7945" max="7945" width="15.7109375" style="9" customWidth="1"/>
    <col min="7946" max="7948" width="9.140625" style="9"/>
    <col min="7949" max="7949" width="13.7109375" style="9" customWidth="1"/>
    <col min="7950" max="7950" width="15.7109375" style="9" customWidth="1"/>
    <col min="7951" max="7951" width="13.7109375" style="9" customWidth="1"/>
    <col min="7952" max="7952" width="15.7109375" style="9" customWidth="1"/>
    <col min="7953" max="7953" width="13.7109375" style="9" customWidth="1"/>
    <col min="7954" max="7954" width="15.7109375" style="9" customWidth="1"/>
    <col min="7955" max="7955" width="16.28515625" style="9" customWidth="1"/>
    <col min="7956" max="8192" width="9.140625" style="9"/>
    <col min="8193" max="8193" width="4.85546875" style="9" customWidth="1"/>
    <col min="8194" max="8194" width="32.7109375" style="9" customWidth="1"/>
    <col min="8195" max="8195" width="9.140625" style="9"/>
    <col min="8196" max="8196" width="10" style="9" customWidth="1"/>
    <col min="8197" max="8199" width="9.140625" style="9"/>
    <col min="8200" max="8200" width="13.7109375" style="9" customWidth="1"/>
    <col min="8201" max="8201" width="15.7109375" style="9" customWidth="1"/>
    <col min="8202" max="8204" width="9.140625" style="9"/>
    <col min="8205" max="8205" width="13.7109375" style="9" customWidth="1"/>
    <col min="8206" max="8206" width="15.7109375" style="9" customWidth="1"/>
    <col min="8207" max="8207" width="13.7109375" style="9" customWidth="1"/>
    <col min="8208" max="8208" width="15.7109375" style="9" customWidth="1"/>
    <col min="8209" max="8209" width="13.7109375" style="9" customWidth="1"/>
    <col min="8210" max="8210" width="15.7109375" style="9" customWidth="1"/>
    <col min="8211" max="8211" width="16.28515625" style="9" customWidth="1"/>
    <col min="8212" max="8448" width="9.140625" style="9"/>
    <col min="8449" max="8449" width="4.85546875" style="9" customWidth="1"/>
    <col min="8450" max="8450" width="32.7109375" style="9" customWidth="1"/>
    <col min="8451" max="8451" width="9.140625" style="9"/>
    <col min="8452" max="8452" width="10" style="9" customWidth="1"/>
    <col min="8453" max="8455" width="9.140625" style="9"/>
    <col min="8456" max="8456" width="13.7109375" style="9" customWidth="1"/>
    <col min="8457" max="8457" width="15.7109375" style="9" customWidth="1"/>
    <col min="8458" max="8460" width="9.140625" style="9"/>
    <col min="8461" max="8461" width="13.7109375" style="9" customWidth="1"/>
    <col min="8462" max="8462" width="15.7109375" style="9" customWidth="1"/>
    <col min="8463" max="8463" width="13.7109375" style="9" customWidth="1"/>
    <col min="8464" max="8464" width="15.7109375" style="9" customWidth="1"/>
    <col min="8465" max="8465" width="13.7109375" style="9" customWidth="1"/>
    <col min="8466" max="8466" width="15.7109375" style="9" customWidth="1"/>
    <col min="8467" max="8467" width="16.28515625" style="9" customWidth="1"/>
    <col min="8468" max="8704" width="9.140625" style="9"/>
    <col min="8705" max="8705" width="4.85546875" style="9" customWidth="1"/>
    <col min="8706" max="8706" width="32.7109375" style="9" customWidth="1"/>
    <col min="8707" max="8707" width="9.140625" style="9"/>
    <col min="8708" max="8708" width="10" style="9" customWidth="1"/>
    <col min="8709" max="8711" width="9.140625" style="9"/>
    <col min="8712" max="8712" width="13.7109375" style="9" customWidth="1"/>
    <col min="8713" max="8713" width="15.7109375" style="9" customWidth="1"/>
    <col min="8714" max="8716" width="9.140625" style="9"/>
    <col min="8717" max="8717" width="13.7109375" style="9" customWidth="1"/>
    <col min="8718" max="8718" width="15.7109375" style="9" customWidth="1"/>
    <col min="8719" max="8719" width="13.7109375" style="9" customWidth="1"/>
    <col min="8720" max="8720" width="15.7109375" style="9" customWidth="1"/>
    <col min="8721" max="8721" width="13.7109375" style="9" customWidth="1"/>
    <col min="8722" max="8722" width="15.7109375" style="9" customWidth="1"/>
    <col min="8723" max="8723" width="16.28515625" style="9" customWidth="1"/>
    <col min="8724" max="8960" width="9.140625" style="9"/>
    <col min="8961" max="8961" width="4.85546875" style="9" customWidth="1"/>
    <col min="8962" max="8962" width="32.7109375" style="9" customWidth="1"/>
    <col min="8963" max="8963" width="9.140625" style="9"/>
    <col min="8964" max="8964" width="10" style="9" customWidth="1"/>
    <col min="8965" max="8967" width="9.140625" style="9"/>
    <col min="8968" max="8968" width="13.7109375" style="9" customWidth="1"/>
    <col min="8969" max="8969" width="15.7109375" style="9" customWidth="1"/>
    <col min="8970" max="8972" width="9.140625" style="9"/>
    <col min="8973" max="8973" width="13.7109375" style="9" customWidth="1"/>
    <col min="8974" max="8974" width="15.7109375" style="9" customWidth="1"/>
    <col min="8975" max="8975" width="13.7109375" style="9" customWidth="1"/>
    <col min="8976" max="8976" width="15.7109375" style="9" customWidth="1"/>
    <col min="8977" max="8977" width="13.7109375" style="9" customWidth="1"/>
    <col min="8978" max="8978" width="15.7109375" style="9" customWidth="1"/>
    <col min="8979" max="8979" width="16.28515625" style="9" customWidth="1"/>
    <col min="8980" max="9216" width="9.140625" style="9"/>
    <col min="9217" max="9217" width="4.85546875" style="9" customWidth="1"/>
    <col min="9218" max="9218" width="32.7109375" style="9" customWidth="1"/>
    <col min="9219" max="9219" width="9.140625" style="9"/>
    <col min="9220" max="9220" width="10" style="9" customWidth="1"/>
    <col min="9221" max="9223" width="9.140625" style="9"/>
    <col min="9224" max="9224" width="13.7109375" style="9" customWidth="1"/>
    <col min="9225" max="9225" width="15.7109375" style="9" customWidth="1"/>
    <col min="9226" max="9228" width="9.140625" style="9"/>
    <col min="9229" max="9229" width="13.7109375" style="9" customWidth="1"/>
    <col min="9230" max="9230" width="15.7109375" style="9" customWidth="1"/>
    <col min="9231" max="9231" width="13.7109375" style="9" customWidth="1"/>
    <col min="9232" max="9232" width="15.7109375" style="9" customWidth="1"/>
    <col min="9233" max="9233" width="13.7109375" style="9" customWidth="1"/>
    <col min="9234" max="9234" width="15.7109375" style="9" customWidth="1"/>
    <col min="9235" max="9235" width="16.28515625" style="9" customWidth="1"/>
    <col min="9236" max="9472" width="9.140625" style="9"/>
    <col min="9473" max="9473" width="4.85546875" style="9" customWidth="1"/>
    <col min="9474" max="9474" width="32.7109375" style="9" customWidth="1"/>
    <col min="9475" max="9475" width="9.140625" style="9"/>
    <col min="9476" max="9476" width="10" style="9" customWidth="1"/>
    <col min="9477" max="9479" width="9.140625" style="9"/>
    <col min="9480" max="9480" width="13.7109375" style="9" customWidth="1"/>
    <col min="9481" max="9481" width="15.7109375" style="9" customWidth="1"/>
    <col min="9482" max="9484" width="9.140625" style="9"/>
    <col min="9485" max="9485" width="13.7109375" style="9" customWidth="1"/>
    <col min="9486" max="9486" width="15.7109375" style="9" customWidth="1"/>
    <col min="9487" max="9487" width="13.7109375" style="9" customWidth="1"/>
    <col min="9488" max="9488" width="15.7109375" style="9" customWidth="1"/>
    <col min="9489" max="9489" width="13.7109375" style="9" customWidth="1"/>
    <col min="9490" max="9490" width="15.7109375" style="9" customWidth="1"/>
    <col min="9491" max="9491" width="16.28515625" style="9" customWidth="1"/>
    <col min="9492" max="9728" width="9.140625" style="9"/>
    <col min="9729" max="9729" width="4.85546875" style="9" customWidth="1"/>
    <col min="9730" max="9730" width="32.7109375" style="9" customWidth="1"/>
    <col min="9731" max="9731" width="9.140625" style="9"/>
    <col min="9732" max="9732" width="10" style="9" customWidth="1"/>
    <col min="9733" max="9735" width="9.140625" style="9"/>
    <col min="9736" max="9736" width="13.7109375" style="9" customWidth="1"/>
    <col min="9737" max="9737" width="15.7109375" style="9" customWidth="1"/>
    <col min="9738" max="9740" width="9.140625" style="9"/>
    <col min="9741" max="9741" width="13.7109375" style="9" customWidth="1"/>
    <col min="9742" max="9742" width="15.7109375" style="9" customWidth="1"/>
    <col min="9743" max="9743" width="13.7109375" style="9" customWidth="1"/>
    <col min="9744" max="9744" width="15.7109375" style="9" customWidth="1"/>
    <col min="9745" max="9745" width="13.7109375" style="9" customWidth="1"/>
    <col min="9746" max="9746" width="15.7109375" style="9" customWidth="1"/>
    <col min="9747" max="9747" width="16.28515625" style="9" customWidth="1"/>
    <col min="9748" max="9984" width="9.140625" style="9"/>
    <col min="9985" max="9985" width="4.85546875" style="9" customWidth="1"/>
    <col min="9986" max="9986" width="32.7109375" style="9" customWidth="1"/>
    <col min="9987" max="9987" width="9.140625" style="9"/>
    <col min="9988" max="9988" width="10" style="9" customWidth="1"/>
    <col min="9989" max="9991" width="9.140625" style="9"/>
    <col min="9992" max="9992" width="13.7109375" style="9" customWidth="1"/>
    <col min="9993" max="9993" width="15.7109375" style="9" customWidth="1"/>
    <col min="9994" max="9996" width="9.140625" style="9"/>
    <col min="9997" max="9997" width="13.7109375" style="9" customWidth="1"/>
    <col min="9998" max="9998" width="15.7109375" style="9" customWidth="1"/>
    <col min="9999" max="9999" width="13.7109375" style="9" customWidth="1"/>
    <col min="10000" max="10000" width="15.7109375" style="9" customWidth="1"/>
    <col min="10001" max="10001" width="13.7109375" style="9" customWidth="1"/>
    <col min="10002" max="10002" width="15.7109375" style="9" customWidth="1"/>
    <col min="10003" max="10003" width="16.28515625" style="9" customWidth="1"/>
    <col min="10004" max="10240" width="9.140625" style="9"/>
    <col min="10241" max="10241" width="4.85546875" style="9" customWidth="1"/>
    <col min="10242" max="10242" width="32.7109375" style="9" customWidth="1"/>
    <col min="10243" max="10243" width="9.140625" style="9"/>
    <col min="10244" max="10244" width="10" style="9" customWidth="1"/>
    <col min="10245" max="10247" width="9.140625" style="9"/>
    <col min="10248" max="10248" width="13.7109375" style="9" customWidth="1"/>
    <col min="10249" max="10249" width="15.7109375" style="9" customWidth="1"/>
    <col min="10250" max="10252" width="9.140625" style="9"/>
    <col min="10253" max="10253" width="13.7109375" style="9" customWidth="1"/>
    <col min="10254" max="10254" width="15.7109375" style="9" customWidth="1"/>
    <col min="10255" max="10255" width="13.7109375" style="9" customWidth="1"/>
    <col min="10256" max="10256" width="15.7109375" style="9" customWidth="1"/>
    <col min="10257" max="10257" width="13.7109375" style="9" customWidth="1"/>
    <col min="10258" max="10258" width="15.7109375" style="9" customWidth="1"/>
    <col min="10259" max="10259" width="16.28515625" style="9" customWidth="1"/>
    <col min="10260" max="10496" width="9.140625" style="9"/>
    <col min="10497" max="10497" width="4.85546875" style="9" customWidth="1"/>
    <col min="10498" max="10498" width="32.7109375" style="9" customWidth="1"/>
    <col min="10499" max="10499" width="9.140625" style="9"/>
    <col min="10500" max="10500" width="10" style="9" customWidth="1"/>
    <col min="10501" max="10503" width="9.140625" style="9"/>
    <col min="10504" max="10504" width="13.7109375" style="9" customWidth="1"/>
    <col min="10505" max="10505" width="15.7109375" style="9" customWidth="1"/>
    <col min="10506" max="10508" width="9.140625" style="9"/>
    <col min="10509" max="10509" width="13.7109375" style="9" customWidth="1"/>
    <col min="10510" max="10510" width="15.7109375" style="9" customWidth="1"/>
    <col min="10511" max="10511" width="13.7109375" style="9" customWidth="1"/>
    <col min="10512" max="10512" width="15.7109375" style="9" customWidth="1"/>
    <col min="10513" max="10513" width="13.7109375" style="9" customWidth="1"/>
    <col min="10514" max="10514" width="15.7109375" style="9" customWidth="1"/>
    <col min="10515" max="10515" width="16.28515625" style="9" customWidth="1"/>
    <col min="10516" max="10752" width="9.140625" style="9"/>
    <col min="10753" max="10753" width="4.85546875" style="9" customWidth="1"/>
    <col min="10754" max="10754" width="32.7109375" style="9" customWidth="1"/>
    <col min="10755" max="10755" width="9.140625" style="9"/>
    <col min="10756" max="10756" width="10" style="9" customWidth="1"/>
    <col min="10757" max="10759" width="9.140625" style="9"/>
    <col min="10760" max="10760" width="13.7109375" style="9" customWidth="1"/>
    <col min="10761" max="10761" width="15.7109375" style="9" customWidth="1"/>
    <col min="10762" max="10764" width="9.140625" style="9"/>
    <col min="10765" max="10765" width="13.7109375" style="9" customWidth="1"/>
    <col min="10766" max="10766" width="15.7109375" style="9" customWidth="1"/>
    <col min="10767" max="10767" width="13.7109375" style="9" customWidth="1"/>
    <col min="10768" max="10768" width="15.7109375" style="9" customWidth="1"/>
    <col min="10769" max="10769" width="13.7109375" style="9" customWidth="1"/>
    <col min="10770" max="10770" width="15.7109375" style="9" customWidth="1"/>
    <col min="10771" max="10771" width="16.28515625" style="9" customWidth="1"/>
    <col min="10772" max="11008" width="9.140625" style="9"/>
    <col min="11009" max="11009" width="4.85546875" style="9" customWidth="1"/>
    <col min="11010" max="11010" width="32.7109375" style="9" customWidth="1"/>
    <col min="11011" max="11011" width="9.140625" style="9"/>
    <col min="11012" max="11012" width="10" style="9" customWidth="1"/>
    <col min="11013" max="11015" width="9.140625" style="9"/>
    <col min="11016" max="11016" width="13.7109375" style="9" customWidth="1"/>
    <col min="11017" max="11017" width="15.7109375" style="9" customWidth="1"/>
    <col min="11018" max="11020" width="9.140625" style="9"/>
    <col min="11021" max="11021" width="13.7109375" style="9" customWidth="1"/>
    <col min="11022" max="11022" width="15.7109375" style="9" customWidth="1"/>
    <col min="11023" max="11023" width="13.7109375" style="9" customWidth="1"/>
    <col min="11024" max="11024" width="15.7109375" style="9" customWidth="1"/>
    <col min="11025" max="11025" width="13.7109375" style="9" customWidth="1"/>
    <col min="11026" max="11026" width="15.7109375" style="9" customWidth="1"/>
    <col min="11027" max="11027" width="16.28515625" style="9" customWidth="1"/>
    <col min="11028" max="11264" width="9.140625" style="9"/>
    <col min="11265" max="11265" width="4.85546875" style="9" customWidth="1"/>
    <col min="11266" max="11266" width="32.7109375" style="9" customWidth="1"/>
    <col min="11267" max="11267" width="9.140625" style="9"/>
    <col min="11268" max="11268" width="10" style="9" customWidth="1"/>
    <col min="11269" max="11271" width="9.140625" style="9"/>
    <col min="11272" max="11272" width="13.7109375" style="9" customWidth="1"/>
    <col min="11273" max="11273" width="15.7109375" style="9" customWidth="1"/>
    <col min="11274" max="11276" width="9.140625" style="9"/>
    <col min="11277" max="11277" width="13.7109375" style="9" customWidth="1"/>
    <col min="11278" max="11278" width="15.7109375" style="9" customWidth="1"/>
    <col min="11279" max="11279" width="13.7109375" style="9" customWidth="1"/>
    <col min="11280" max="11280" width="15.7109375" style="9" customWidth="1"/>
    <col min="11281" max="11281" width="13.7109375" style="9" customWidth="1"/>
    <col min="11282" max="11282" width="15.7109375" style="9" customWidth="1"/>
    <col min="11283" max="11283" width="16.28515625" style="9" customWidth="1"/>
    <col min="11284" max="11520" width="9.140625" style="9"/>
    <col min="11521" max="11521" width="4.85546875" style="9" customWidth="1"/>
    <col min="11522" max="11522" width="32.7109375" style="9" customWidth="1"/>
    <col min="11523" max="11523" width="9.140625" style="9"/>
    <col min="11524" max="11524" width="10" style="9" customWidth="1"/>
    <col min="11525" max="11527" width="9.140625" style="9"/>
    <col min="11528" max="11528" width="13.7109375" style="9" customWidth="1"/>
    <col min="11529" max="11529" width="15.7109375" style="9" customWidth="1"/>
    <col min="11530" max="11532" width="9.140625" style="9"/>
    <col min="11533" max="11533" width="13.7109375" style="9" customWidth="1"/>
    <col min="11534" max="11534" width="15.7109375" style="9" customWidth="1"/>
    <col min="11535" max="11535" width="13.7109375" style="9" customWidth="1"/>
    <col min="11536" max="11536" width="15.7109375" style="9" customWidth="1"/>
    <col min="11537" max="11537" width="13.7109375" style="9" customWidth="1"/>
    <col min="11538" max="11538" width="15.7109375" style="9" customWidth="1"/>
    <col min="11539" max="11539" width="16.28515625" style="9" customWidth="1"/>
    <col min="11540" max="11776" width="9.140625" style="9"/>
    <col min="11777" max="11777" width="4.85546875" style="9" customWidth="1"/>
    <col min="11778" max="11778" width="32.7109375" style="9" customWidth="1"/>
    <col min="11779" max="11779" width="9.140625" style="9"/>
    <col min="11780" max="11780" width="10" style="9" customWidth="1"/>
    <col min="11781" max="11783" width="9.140625" style="9"/>
    <col min="11784" max="11784" width="13.7109375" style="9" customWidth="1"/>
    <col min="11785" max="11785" width="15.7109375" style="9" customWidth="1"/>
    <col min="11786" max="11788" width="9.140625" style="9"/>
    <col min="11789" max="11789" width="13.7109375" style="9" customWidth="1"/>
    <col min="11790" max="11790" width="15.7109375" style="9" customWidth="1"/>
    <col min="11791" max="11791" width="13.7109375" style="9" customWidth="1"/>
    <col min="11792" max="11792" width="15.7109375" style="9" customWidth="1"/>
    <col min="11793" max="11793" width="13.7109375" style="9" customWidth="1"/>
    <col min="11794" max="11794" width="15.7109375" style="9" customWidth="1"/>
    <col min="11795" max="11795" width="16.28515625" style="9" customWidth="1"/>
    <col min="11796" max="12032" width="9.140625" style="9"/>
    <col min="12033" max="12033" width="4.85546875" style="9" customWidth="1"/>
    <col min="12034" max="12034" width="32.7109375" style="9" customWidth="1"/>
    <col min="12035" max="12035" width="9.140625" style="9"/>
    <col min="12036" max="12036" width="10" style="9" customWidth="1"/>
    <col min="12037" max="12039" width="9.140625" style="9"/>
    <col min="12040" max="12040" width="13.7109375" style="9" customWidth="1"/>
    <col min="12041" max="12041" width="15.7109375" style="9" customWidth="1"/>
    <col min="12042" max="12044" width="9.140625" style="9"/>
    <col min="12045" max="12045" width="13.7109375" style="9" customWidth="1"/>
    <col min="12046" max="12046" width="15.7109375" style="9" customWidth="1"/>
    <col min="12047" max="12047" width="13.7109375" style="9" customWidth="1"/>
    <col min="12048" max="12048" width="15.7109375" style="9" customWidth="1"/>
    <col min="12049" max="12049" width="13.7109375" style="9" customWidth="1"/>
    <col min="12050" max="12050" width="15.7109375" style="9" customWidth="1"/>
    <col min="12051" max="12051" width="16.28515625" style="9" customWidth="1"/>
    <col min="12052" max="12288" width="9.140625" style="9"/>
    <col min="12289" max="12289" width="4.85546875" style="9" customWidth="1"/>
    <col min="12290" max="12290" width="32.7109375" style="9" customWidth="1"/>
    <col min="12291" max="12291" width="9.140625" style="9"/>
    <col min="12292" max="12292" width="10" style="9" customWidth="1"/>
    <col min="12293" max="12295" width="9.140625" style="9"/>
    <col min="12296" max="12296" width="13.7109375" style="9" customWidth="1"/>
    <col min="12297" max="12297" width="15.7109375" style="9" customWidth="1"/>
    <col min="12298" max="12300" width="9.140625" style="9"/>
    <col min="12301" max="12301" width="13.7109375" style="9" customWidth="1"/>
    <col min="12302" max="12302" width="15.7109375" style="9" customWidth="1"/>
    <col min="12303" max="12303" width="13.7109375" style="9" customWidth="1"/>
    <col min="12304" max="12304" width="15.7109375" style="9" customWidth="1"/>
    <col min="12305" max="12305" width="13.7109375" style="9" customWidth="1"/>
    <col min="12306" max="12306" width="15.7109375" style="9" customWidth="1"/>
    <col min="12307" max="12307" width="16.28515625" style="9" customWidth="1"/>
    <col min="12308" max="12544" width="9.140625" style="9"/>
    <col min="12545" max="12545" width="4.85546875" style="9" customWidth="1"/>
    <col min="12546" max="12546" width="32.7109375" style="9" customWidth="1"/>
    <col min="12547" max="12547" width="9.140625" style="9"/>
    <col min="12548" max="12548" width="10" style="9" customWidth="1"/>
    <col min="12549" max="12551" width="9.140625" style="9"/>
    <col min="12552" max="12552" width="13.7109375" style="9" customWidth="1"/>
    <col min="12553" max="12553" width="15.7109375" style="9" customWidth="1"/>
    <col min="12554" max="12556" width="9.140625" style="9"/>
    <col min="12557" max="12557" width="13.7109375" style="9" customWidth="1"/>
    <col min="12558" max="12558" width="15.7109375" style="9" customWidth="1"/>
    <col min="12559" max="12559" width="13.7109375" style="9" customWidth="1"/>
    <col min="12560" max="12560" width="15.7109375" style="9" customWidth="1"/>
    <col min="12561" max="12561" width="13.7109375" style="9" customWidth="1"/>
    <col min="12562" max="12562" width="15.7109375" style="9" customWidth="1"/>
    <col min="12563" max="12563" width="16.28515625" style="9" customWidth="1"/>
    <col min="12564" max="12800" width="9.140625" style="9"/>
    <col min="12801" max="12801" width="4.85546875" style="9" customWidth="1"/>
    <col min="12802" max="12802" width="32.7109375" style="9" customWidth="1"/>
    <col min="12803" max="12803" width="9.140625" style="9"/>
    <col min="12804" max="12804" width="10" style="9" customWidth="1"/>
    <col min="12805" max="12807" width="9.140625" style="9"/>
    <col min="12808" max="12808" width="13.7109375" style="9" customWidth="1"/>
    <col min="12809" max="12809" width="15.7109375" style="9" customWidth="1"/>
    <col min="12810" max="12812" width="9.140625" style="9"/>
    <col min="12813" max="12813" width="13.7109375" style="9" customWidth="1"/>
    <col min="12814" max="12814" width="15.7109375" style="9" customWidth="1"/>
    <col min="12815" max="12815" width="13.7109375" style="9" customWidth="1"/>
    <col min="12816" max="12816" width="15.7109375" style="9" customWidth="1"/>
    <col min="12817" max="12817" width="13.7109375" style="9" customWidth="1"/>
    <col min="12818" max="12818" width="15.7109375" style="9" customWidth="1"/>
    <col min="12819" max="12819" width="16.28515625" style="9" customWidth="1"/>
    <col min="12820" max="13056" width="9.140625" style="9"/>
    <col min="13057" max="13057" width="4.85546875" style="9" customWidth="1"/>
    <col min="13058" max="13058" width="32.7109375" style="9" customWidth="1"/>
    <col min="13059" max="13059" width="9.140625" style="9"/>
    <col min="13060" max="13060" width="10" style="9" customWidth="1"/>
    <col min="13061" max="13063" width="9.140625" style="9"/>
    <col min="13064" max="13064" width="13.7109375" style="9" customWidth="1"/>
    <col min="13065" max="13065" width="15.7109375" style="9" customWidth="1"/>
    <col min="13066" max="13068" width="9.140625" style="9"/>
    <col min="13069" max="13069" width="13.7109375" style="9" customWidth="1"/>
    <col min="13070" max="13070" width="15.7109375" style="9" customWidth="1"/>
    <col min="13071" max="13071" width="13.7109375" style="9" customWidth="1"/>
    <col min="13072" max="13072" width="15.7109375" style="9" customWidth="1"/>
    <col min="13073" max="13073" width="13.7109375" style="9" customWidth="1"/>
    <col min="13074" max="13074" width="15.7109375" style="9" customWidth="1"/>
    <col min="13075" max="13075" width="16.28515625" style="9" customWidth="1"/>
    <col min="13076" max="13312" width="9.140625" style="9"/>
    <col min="13313" max="13313" width="4.85546875" style="9" customWidth="1"/>
    <col min="13314" max="13314" width="32.7109375" style="9" customWidth="1"/>
    <col min="13315" max="13315" width="9.140625" style="9"/>
    <col min="13316" max="13316" width="10" style="9" customWidth="1"/>
    <col min="13317" max="13319" width="9.140625" style="9"/>
    <col min="13320" max="13320" width="13.7109375" style="9" customWidth="1"/>
    <col min="13321" max="13321" width="15.7109375" style="9" customWidth="1"/>
    <col min="13322" max="13324" width="9.140625" style="9"/>
    <col min="13325" max="13325" width="13.7109375" style="9" customWidth="1"/>
    <col min="13326" max="13326" width="15.7109375" style="9" customWidth="1"/>
    <col min="13327" max="13327" width="13.7109375" style="9" customWidth="1"/>
    <col min="13328" max="13328" width="15.7109375" style="9" customWidth="1"/>
    <col min="13329" max="13329" width="13.7109375" style="9" customWidth="1"/>
    <col min="13330" max="13330" width="15.7109375" style="9" customWidth="1"/>
    <col min="13331" max="13331" width="16.28515625" style="9" customWidth="1"/>
    <col min="13332" max="13568" width="9.140625" style="9"/>
    <col min="13569" max="13569" width="4.85546875" style="9" customWidth="1"/>
    <col min="13570" max="13570" width="32.7109375" style="9" customWidth="1"/>
    <col min="13571" max="13571" width="9.140625" style="9"/>
    <col min="13572" max="13572" width="10" style="9" customWidth="1"/>
    <col min="13573" max="13575" width="9.140625" style="9"/>
    <col min="13576" max="13576" width="13.7109375" style="9" customWidth="1"/>
    <col min="13577" max="13577" width="15.7109375" style="9" customWidth="1"/>
    <col min="13578" max="13580" width="9.140625" style="9"/>
    <col min="13581" max="13581" width="13.7109375" style="9" customWidth="1"/>
    <col min="13582" max="13582" width="15.7109375" style="9" customWidth="1"/>
    <col min="13583" max="13583" width="13.7109375" style="9" customWidth="1"/>
    <col min="13584" max="13584" width="15.7109375" style="9" customWidth="1"/>
    <col min="13585" max="13585" width="13.7109375" style="9" customWidth="1"/>
    <col min="13586" max="13586" width="15.7109375" style="9" customWidth="1"/>
    <col min="13587" max="13587" width="16.28515625" style="9" customWidth="1"/>
    <col min="13588" max="13824" width="9.140625" style="9"/>
    <col min="13825" max="13825" width="4.85546875" style="9" customWidth="1"/>
    <col min="13826" max="13826" width="32.7109375" style="9" customWidth="1"/>
    <col min="13827" max="13827" width="9.140625" style="9"/>
    <col min="13828" max="13828" width="10" style="9" customWidth="1"/>
    <col min="13829" max="13831" width="9.140625" style="9"/>
    <col min="13832" max="13832" width="13.7109375" style="9" customWidth="1"/>
    <col min="13833" max="13833" width="15.7109375" style="9" customWidth="1"/>
    <col min="13834" max="13836" width="9.140625" style="9"/>
    <col min="13837" max="13837" width="13.7109375" style="9" customWidth="1"/>
    <col min="13838" max="13838" width="15.7109375" style="9" customWidth="1"/>
    <col min="13839" max="13839" width="13.7109375" style="9" customWidth="1"/>
    <col min="13840" max="13840" width="15.7109375" style="9" customWidth="1"/>
    <col min="13841" max="13841" width="13.7109375" style="9" customWidth="1"/>
    <col min="13842" max="13842" width="15.7109375" style="9" customWidth="1"/>
    <col min="13843" max="13843" width="16.28515625" style="9" customWidth="1"/>
    <col min="13844" max="14080" width="9.140625" style="9"/>
    <col min="14081" max="14081" width="4.85546875" style="9" customWidth="1"/>
    <col min="14082" max="14082" width="32.7109375" style="9" customWidth="1"/>
    <col min="14083" max="14083" width="9.140625" style="9"/>
    <col min="14084" max="14084" width="10" style="9" customWidth="1"/>
    <col min="14085" max="14087" width="9.140625" style="9"/>
    <col min="14088" max="14088" width="13.7109375" style="9" customWidth="1"/>
    <col min="14089" max="14089" width="15.7109375" style="9" customWidth="1"/>
    <col min="14090" max="14092" width="9.140625" style="9"/>
    <col min="14093" max="14093" width="13.7109375" style="9" customWidth="1"/>
    <col min="14094" max="14094" width="15.7109375" style="9" customWidth="1"/>
    <col min="14095" max="14095" width="13.7109375" style="9" customWidth="1"/>
    <col min="14096" max="14096" width="15.7109375" style="9" customWidth="1"/>
    <col min="14097" max="14097" width="13.7109375" style="9" customWidth="1"/>
    <col min="14098" max="14098" width="15.7109375" style="9" customWidth="1"/>
    <col min="14099" max="14099" width="16.28515625" style="9" customWidth="1"/>
    <col min="14100" max="14336" width="9.140625" style="9"/>
    <col min="14337" max="14337" width="4.85546875" style="9" customWidth="1"/>
    <col min="14338" max="14338" width="32.7109375" style="9" customWidth="1"/>
    <col min="14339" max="14339" width="9.140625" style="9"/>
    <col min="14340" max="14340" width="10" style="9" customWidth="1"/>
    <col min="14341" max="14343" width="9.140625" style="9"/>
    <col min="14344" max="14344" width="13.7109375" style="9" customWidth="1"/>
    <col min="14345" max="14345" width="15.7109375" style="9" customWidth="1"/>
    <col min="14346" max="14348" width="9.140625" style="9"/>
    <col min="14349" max="14349" width="13.7109375" style="9" customWidth="1"/>
    <col min="14350" max="14350" width="15.7109375" style="9" customWidth="1"/>
    <col min="14351" max="14351" width="13.7109375" style="9" customWidth="1"/>
    <col min="14352" max="14352" width="15.7109375" style="9" customWidth="1"/>
    <col min="14353" max="14353" width="13.7109375" style="9" customWidth="1"/>
    <col min="14354" max="14354" width="15.7109375" style="9" customWidth="1"/>
    <col min="14355" max="14355" width="16.28515625" style="9" customWidth="1"/>
    <col min="14356" max="14592" width="9.140625" style="9"/>
    <col min="14593" max="14593" width="4.85546875" style="9" customWidth="1"/>
    <col min="14594" max="14594" width="32.7109375" style="9" customWidth="1"/>
    <col min="14595" max="14595" width="9.140625" style="9"/>
    <col min="14596" max="14596" width="10" style="9" customWidth="1"/>
    <col min="14597" max="14599" width="9.140625" style="9"/>
    <col min="14600" max="14600" width="13.7109375" style="9" customWidth="1"/>
    <col min="14601" max="14601" width="15.7109375" style="9" customWidth="1"/>
    <col min="14602" max="14604" width="9.140625" style="9"/>
    <col min="14605" max="14605" width="13.7109375" style="9" customWidth="1"/>
    <col min="14606" max="14606" width="15.7109375" style="9" customWidth="1"/>
    <col min="14607" max="14607" width="13.7109375" style="9" customWidth="1"/>
    <col min="14608" max="14608" width="15.7109375" style="9" customWidth="1"/>
    <col min="14609" max="14609" width="13.7109375" style="9" customWidth="1"/>
    <col min="14610" max="14610" width="15.7109375" style="9" customWidth="1"/>
    <col min="14611" max="14611" width="16.28515625" style="9" customWidth="1"/>
    <col min="14612" max="14848" width="9.140625" style="9"/>
    <col min="14849" max="14849" width="4.85546875" style="9" customWidth="1"/>
    <col min="14850" max="14850" width="32.7109375" style="9" customWidth="1"/>
    <col min="14851" max="14851" width="9.140625" style="9"/>
    <col min="14852" max="14852" width="10" style="9" customWidth="1"/>
    <col min="14853" max="14855" width="9.140625" style="9"/>
    <col min="14856" max="14856" width="13.7109375" style="9" customWidth="1"/>
    <col min="14857" max="14857" width="15.7109375" style="9" customWidth="1"/>
    <col min="14858" max="14860" width="9.140625" style="9"/>
    <col min="14861" max="14861" width="13.7109375" style="9" customWidth="1"/>
    <col min="14862" max="14862" width="15.7109375" style="9" customWidth="1"/>
    <col min="14863" max="14863" width="13.7109375" style="9" customWidth="1"/>
    <col min="14864" max="14864" width="15.7109375" style="9" customWidth="1"/>
    <col min="14865" max="14865" width="13.7109375" style="9" customWidth="1"/>
    <col min="14866" max="14866" width="15.7109375" style="9" customWidth="1"/>
    <col min="14867" max="14867" width="16.28515625" style="9" customWidth="1"/>
    <col min="14868" max="15104" width="9.140625" style="9"/>
    <col min="15105" max="15105" width="4.85546875" style="9" customWidth="1"/>
    <col min="15106" max="15106" width="32.7109375" style="9" customWidth="1"/>
    <col min="15107" max="15107" width="9.140625" style="9"/>
    <col min="15108" max="15108" width="10" style="9" customWidth="1"/>
    <col min="15109" max="15111" width="9.140625" style="9"/>
    <col min="15112" max="15112" width="13.7109375" style="9" customWidth="1"/>
    <col min="15113" max="15113" width="15.7109375" style="9" customWidth="1"/>
    <col min="15114" max="15116" width="9.140625" style="9"/>
    <col min="15117" max="15117" width="13.7109375" style="9" customWidth="1"/>
    <col min="15118" max="15118" width="15.7109375" style="9" customWidth="1"/>
    <col min="15119" max="15119" width="13.7109375" style="9" customWidth="1"/>
    <col min="15120" max="15120" width="15.7109375" style="9" customWidth="1"/>
    <col min="15121" max="15121" width="13.7109375" style="9" customWidth="1"/>
    <col min="15122" max="15122" width="15.7109375" style="9" customWidth="1"/>
    <col min="15123" max="15123" width="16.28515625" style="9" customWidth="1"/>
    <col min="15124" max="15360" width="9.140625" style="9"/>
    <col min="15361" max="15361" width="4.85546875" style="9" customWidth="1"/>
    <col min="15362" max="15362" width="32.7109375" style="9" customWidth="1"/>
    <col min="15363" max="15363" width="9.140625" style="9"/>
    <col min="15364" max="15364" width="10" style="9" customWidth="1"/>
    <col min="15365" max="15367" width="9.140625" style="9"/>
    <col min="15368" max="15368" width="13.7109375" style="9" customWidth="1"/>
    <col min="15369" max="15369" width="15.7109375" style="9" customWidth="1"/>
    <col min="15370" max="15372" width="9.140625" style="9"/>
    <col min="15373" max="15373" width="13.7109375" style="9" customWidth="1"/>
    <col min="15374" max="15374" width="15.7109375" style="9" customWidth="1"/>
    <col min="15375" max="15375" width="13.7109375" style="9" customWidth="1"/>
    <col min="15376" max="15376" width="15.7109375" style="9" customWidth="1"/>
    <col min="15377" max="15377" width="13.7109375" style="9" customWidth="1"/>
    <col min="15378" max="15378" width="15.7109375" style="9" customWidth="1"/>
    <col min="15379" max="15379" width="16.28515625" style="9" customWidth="1"/>
    <col min="15380" max="15616" width="9.140625" style="9"/>
    <col min="15617" max="15617" width="4.85546875" style="9" customWidth="1"/>
    <col min="15618" max="15618" width="32.7109375" style="9" customWidth="1"/>
    <col min="15619" max="15619" width="9.140625" style="9"/>
    <col min="15620" max="15620" width="10" style="9" customWidth="1"/>
    <col min="15621" max="15623" width="9.140625" style="9"/>
    <col min="15624" max="15624" width="13.7109375" style="9" customWidth="1"/>
    <col min="15625" max="15625" width="15.7109375" style="9" customWidth="1"/>
    <col min="15626" max="15628" width="9.140625" style="9"/>
    <col min="15629" max="15629" width="13.7109375" style="9" customWidth="1"/>
    <col min="15630" max="15630" width="15.7109375" style="9" customWidth="1"/>
    <col min="15631" max="15631" width="13.7109375" style="9" customWidth="1"/>
    <col min="15632" max="15632" width="15.7109375" style="9" customWidth="1"/>
    <col min="15633" max="15633" width="13.7109375" style="9" customWidth="1"/>
    <col min="15634" max="15634" width="15.7109375" style="9" customWidth="1"/>
    <col min="15635" max="15635" width="16.28515625" style="9" customWidth="1"/>
    <col min="15636" max="15872" width="9.140625" style="9"/>
    <col min="15873" max="15873" width="4.85546875" style="9" customWidth="1"/>
    <col min="15874" max="15874" width="32.7109375" style="9" customWidth="1"/>
    <col min="15875" max="15875" width="9.140625" style="9"/>
    <col min="15876" max="15876" width="10" style="9" customWidth="1"/>
    <col min="15877" max="15879" width="9.140625" style="9"/>
    <col min="15880" max="15880" width="13.7109375" style="9" customWidth="1"/>
    <col min="15881" max="15881" width="15.7109375" style="9" customWidth="1"/>
    <col min="15882" max="15884" width="9.140625" style="9"/>
    <col min="15885" max="15885" width="13.7109375" style="9" customWidth="1"/>
    <col min="15886" max="15886" width="15.7109375" style="9" customWidth="1"/>
    <col min="15887" max="15887" width="13.7109375" style="9" customWidth="1"/>
    <col min="15888" max="15888" width="15.7109375" style="9" customWidth="1"/>
    <col min="15889" max="15889" width="13.7109375" style="9" customWidth="1"/>
    <col min="15890" max="15890" width="15.7109375" style="9" customWidth="1"/>
    <col min="15891" max="15891" width="16.28515625" style="9" customWidth="1"/>
    <col min="15892" max="16128" width="9.140625" style="9"/>
    <col min="16129" max="16129" width="4.85546875" style="9" customWidth="1"/>
    <col min="16130" max="16130" width="32.7109375" style="9" customWidth="1"/>
    <col min="16131" max="16131" width="9.140625" style="9"/>
    <col min="16132" max="16132" width="10" style="9" customWidth="1"/>
    <col min="16133" max="16135" width="9.140625" style="9"/>
    <col min="16136" max="16136" width="13.7109375" style="9" customWidth="1"/>
    <col min="16137" max="16137" width="15.7109375" style="9" customWidth="1"/>
    <col min="16138" max="16140" width="9.140625" style="9"/>
    <col min="16141" max="16141" width="13.7109375" style="9" customWidth="1"/>
    <col min="16142" max="16142" width="15.7109375" style="9" customWidth="1"/>
    <col min="16143" max="16143" width="13.7109375" style="9" customWidth="1"/>
    <col min="16144" max="16144" width="15.7109375" style="9" customWidth="1"/>
    <col min="16145" max="16145" width="13.7109375" style="9" customWidth="1"/>
    <col min="16146" max="16146" width="15.7109375" style="9" customWidth="1"/>
    <col min="16147" max="16147" width="16.28515625" style="9" customWidth="1"/>
    <col min="16148" max="16384" width="9.140625" style="9"/>
  </cols>
  <sheetData>
    <row r="1" spans="2:20" ht="13.5" thickBot="1">
      <c r="B1" s="898"/>
      <c r="C1" s="898"/>
      <c r="D1" s="898"/>
      <c r="E1" s="898"/>
      <c r="F1" s="898"/>
      <c r="G1" s="898"/>
      <c r="H1" s="898"/>
      <c r="I1" s="898"/>
    </row>
    <row r="2" spans="2:20" ht="17.25" customHeight="1">
      <c r="B2" s="777" t="str">
        <f>DADOS!D27</f>
        <v>GESTÃO AMBIENTAL - BR-158/MT</v>
      </c>
      <c r="C2" s="778"/>
      <c r="D2" s="778"/>
      <c r="E2" s="778"/>
      <c r="F2" s="778"/>
      <c r="G2" s="778"/>
      <c r="H2" s="778"/>
      <c r="I2" s="779"/>
      <c r="J2" s="899" t="s">
        <v>406</v>
      </c>
      <c r="K2" s="899"/>
      <c r="L2" s="899"/>
      <c r="M2" s="899"/>
      <c r="N2" s="899"/>
      <c r="O2" s="891"/>
      <c r="P2" s="891"/>
      <c r="Q2" s="891"/>
      <c r="R2" s="891"/>
      <c r="S2" s="891"/>
      <c r="T2" s="110"/>
    </row>
    <row r="3" spans="2:20" ht="18" customHeight="1">
      <c r="B3" s="881" t="s">
        <v>372</v>
      </c>
      <c r="C3" s="892"/>
      <c r="D3" s="892"/>
      <c r="E3" s="892"/>
      <c r="F3" s="892"/>
      <c r="G3" s="892"/>
      <c r="H3" s="892"/>
      <c r="I3" s="893"/>
      <c r="J3" s="899"/>
      <c r="K3" s="899"/>
      <c r="L3" s="899"/>
      <c r="M3" s="899"/>
      <c r="N3" s="899"/>
      <c r="O3" s="891"/>
      <c r="P3" s="891"/>
      <c r="Q3" s="891"/>
      <c r="R3" s="891"/>
      <c r="S3" s="891"/>
      <c r="T3" s="110"/>
    </row>
    <row r="4" spans="2:20" ht="12.75" customHeight="1">
      <c r="B4" s="495">
        <f>DADOS!E30</f>
        <v>43831</v>
      </c>
      <c r="C4" s="894"/>
      <c r="D4" s="895"/>
      <c r="E4" s="895"/>
      <c r="F4" s="895"/>
      <c r="G4" s="895"/>
      <c r="H4" s="895"/>
      <c r="I4" s="896"/>
      <c r="J4" s="899"/>
      <c r="K4" s="899"/>
      <c r="L4" s="899"/>
      <c r="M4" s="899"/>
      <c r="N4" s="899"/>
      <c r="O4" s="891"/>
      <c r="P4" s="891"/>
      <c r="Q4" s="891"/>
      <c r="R4" s="891"/>
      <c r="S4" s="891"/>
      <c r="T4" s="110"/>
    </row>
    <row r="5" spans="2:20" ht="12.75" customHeight="1">
      <c r="B5" s="496" t="s">
        <v>37</v>
      </c>
      <c r="C5" s="897"/>
      <c r="D5" s="895"/>
      <c r="E5" s="895"/>
      <c r="F5" s="895"/>
      <c r="G5" s="895"/>
      <c r="H5" s="895"/>
      <c r="I5" s="896"/>
      <c r="J5" s="899"/>
      <c r="K5" s="899"/>
      <c r="L5" s="899"/>
      <c r="M5" s="899"/>
      <c r="N5" s="899"/>
      <c r="O5" s="891"/>
      <c r="P5" s="891"/>
      <c r="Q5" s="891"/>
      <c r="R5" s="891"/>
      <c r="S5" s="891"/>
      <c r="T5" s="110"/>
    </row>
    <row r="6" spans="2:20" ht="15" customHeight="1">
      <c r="B6" s="903" t="s">
        <v>51</v>
      </c>
      <c r="C6" s="904"/>
      <c r="D6" s="100"/>
      <c r="E6" s="905" t="s">
        <v>30</v>
      </c>
      <c r="F6" s="905"/>
      <c r="G6" s="906"/>
      <c r="H6" s="905" t="s">
        <v>52</v>
      </c>
      <c r="I6" s="907"/>
      <c r="J6" s="908"/>
      <c r="K6" s="908"/>
      <c r="L6" s="909"/>
      <c r="M6" s="908"/>
      <c r="N6" s="909"/>
      <c r="O6" s="908"/>
      <c r="P6" s="909"/>
      <c r="Q6" s="908"/>
      <c r="R6" s="909"/>
      <c r="S6" s="356"/>
      <c r="T6" s="110"/>
    </row>
    <row r="7" spans="2:20" ht="12.75" customHeight="1">
      <c r="B7" s="903" t="s">
        <v>670</v>
      </c>
      <c r="C7" s="904"/>
      <c r="D7" s="75"/>
      <c r="E7" s="75"/>
      <c r="F7" s="75"/>
      <c r="G7" s="75"/>
      <c r="H7" s="499"/>
      <c r="I7" s="370"/>
      <c r="J7" s="356"/>
      <c r="K7" s="356"/>
      <c r="L7" s="356"/>
      <c r="M7" s="497"/>
      <c r="N7" s="497"/>
      <c r="O7" s="497"/>
      <c r="P7" s="497"/>
      <c r="Q7" s="497"/>
      <c r="R7" s="497"/>
      <c r="S7" s="356"/>
      <c r="T7" s="110"/>
    </row>
    <row r="8" spans="2:20">
      <c r="B8" s="105" t="s">
        <v>55</v>
      </c>
      <c r="C8" s="556" t="s">
        <v>659</v>
      </c>
      <c r="D8" s="499" t="s">
        <v>46</v>
      </c>
      <c r="E8" s="499" t="s">
        <v>57</v>
      </c>
      <c r="F8" s="499" t="s">
        <v>48</v>
      </c>
      <c r="G8" s="499" t="s">
        <v>49</v>
      </c>
      <c r="H8" s="499" t="s">
        <v>54</v>
      </c>
      <c r="I8" s="370" t="s">
        <v>14</v>
      </c>
      <c r="J8" s="497"/>
      <c r="K8" s="497"/>
      <c r="L8" s="497"/>
      <c r="M8" s="497"/>
      <c r="N8" s="497"/>
      <c r="O8" s="497"/>
      <c r="P8" s="497"/>
      <c r="Q8" s="497"/>
      <c r="R8" s="497"/>
      <c r="S8" s="361"/>
      <c r="T8" s="110"/>
    </row>
    <row r="9" spans="2:20" ht="15.75" customHeight="1">
      <c r="B9" s="98" t="s">
        <v>328</v>
      </c>
      <c r="C9" s="500" t="str">
        <f>DADOS_CONSULT!A39</f>
        <v>P8059</v>
      </c>
      <c r="D9" s="81" t="s">
        <v>237</v>
      </c>
      <c r="E9" s="500">
        <v>1</v>
      </c>
      <c r="F9" s="500">
        <v>264</v>
      </c>
      <c r="G9" s="500">
        <f>F9*E9</f>
        <v>264</v>
      </c>
      <c r="H9" s="295">
        <f>DADOS_CONSULT!D39/22</f>
        <v>537.60545454545456</v>
      </c>
      <c r="I9" s="326">
        <f t="shared" ref="I9:I17" si="0">TRUNC(H9*G9,2)</f>
        <v>141927.84</v>
      </c>
      <c r="J9" s="498"/>
      <c r="K9" s="498"/>
      <c r="L9" s="498"/>
      <c r="M9" s="362"/>
      <c r="N9" s="362"/>
      <c r="O9" s="362"/>
      <c r="P9" s="362"/>
      <c r="Q9" s="362"/>
      <c r="R9" s="362"/>
      <c r="S9" s="361"/>
      <c r="T9" s="110"/>
    </row>
    <row r="10" spans="2:20" ht="42" customHeight="1">
      <c r="B10" s="511" t="s">
        <v>330</v>
      </c>
      <c r="C10" s="90" t="str">
        <f>DADOS_CONSULT!A46</f>
        <v>P8066</v>
      </c>
      <c r="D10" s="418" t="s">
        <v>237</v>
      </c>
      <c r="E10" s="90">
        <v>1</v>
      </c>
      <c r="F10" s="595">
        <v>264</v>
      </c>
      <c r="G10" s="595">
        <f t="shared" ref="G10:G17" si="1">F10*E10</f>
        <v>264</v>
      </c>
      <c r="H10" s="512">
        <f>DADOS_CONSULT!D46/22</f>
        <v>460.20590909090913</v>
      </c>
      <c r="I10" s="513">
        <f t="shared" si="0"/>
        <v>121494.36</v>
      </c>
      <c r="J10" s="498"/>
      <c r="K10" s="498"/>
      <c r="L10" s="498"/>
      <c r="M10" s="362"/>
      <c r="N10" s="362"/>
      <c r="O10" s="362"/>
      <c r="P10" s="362"/>
      <c r="Q10" s="362"/>
      <c r="R10" s="362"/>
      <c r="S10" s="361"/>
      <c r="T10" s="110"/>
    </row>
    <row r="11" spans="2:20" ht="28.5" customHeight="1">
      <c r="B11" s="511" t="s">
        <v>329</v>
      </c>
      <c r="C11" s="90" t="str">
        <f>DADOS_CONSULT!A82</f>
        <v>P8159</v>
      </c>
      <c r="D11" s="418" t="s">
        <v>237</v>
      </c>
      <c r="E11" s="90">
        <v>1</v>
      </c>
      <c r="F11" s="595">
        <v>264</v>
      </c>
      <c r="G11" s="595">
        <f t="shared" si="1"/>
        <v>264</v>
      </c>
      <c r="H11" s="512">
        <f>DADOS_CONSULT!D82/22</f>
        <v>145.63363636363636</v>
      </c>
      <c r="I11" s="513">
        <f t="shared" si="0"/>
        <v>38447.279999999999</v>
      </c>
      <c r="J11" s="498"/>
      <c r="K11" s="498"/>
      <c r="L11" s="498"/>
      <c r="M11" s="362"/>
      <c r="N11" s="362"/>
      <c r="O11" s="362"/>
      <c r="P11" s="362"/>
      <c r="Q11" s="362"/>
      <c r="R11" s="362"/>
      <c r="S11" s="361"/>
      <c r="T11" s="110"/>
    </row>
    <row r="12" spans="2:20" ht="15.75" customHeight="1">
      <c r="B12" s="700" t="s">
        <v>326</v>
      </c>
      <c r="C12" s="701" t="str">
        <f>DADOS_CONSULT!A50</f>
        <v>P8070</v>
      </c>
      <c r="D12" s="702" t="s">
        <v>237</v>
      </c>
      <c r="E12" s="701">
        <v>2</v>
      </c>
      <c r="F12" s="306">
        <v>264</v>
      </c>
      <c r="G12" s="306">
        <f t="shared" si="1"/>
        <v>528</v>
      </c>
      <c r="H12" s="703">
        <f>DADOS_CONSULT!D50/22</f>
        <v>717.48636363636365</v>
      </c>
      <c r="I12" s="704">
        <f>TRUNC(H12*G12,2)</f>
        <v>378832.8</v>
      </c>
      <c r="J12" s="498"/>
      <c r="K12" s="498"/>
      <c r="L12" s="498"/>
      <c r="M12" s="362"/>
      <c r="N12" s="362"/>
      <c r="O12" s="362"/>
      <c r="P12" s="362"/>
      <c r="Q12" s="362"/>
      <c r="R12" s="362"/>
      <c r="S12" s="361"/>
      <c r="T12" s="110"/>
    </row>
    <row r="13" spans="2:20" ht="27.75" customHeight="1">
      <c r="B13" s="705" t="s">
        <v>327</v>
      </c>
      <c r="C13" s="701" t="str">
        <f>DADOS_CONSULT!A80</f>
        <v>P8151</v>
      </c>
      <c r="D13" s="702" t="s">
        <v>237</v>
      </c>
      <c r="E13" s="701">
        <v>2</v>
      </c>
      <c r="F13" s="306">
        <v>264</v>
      </c>
      <c r="G13" s="306">
        <f>F13*E13</f>
        <v>528</v>
      </c>
      <c r="H13" s="703">
        <f>DADOS_CONSULT!D80/22</f>
        <v>174.24863636363636</v>
      </c>
      <c r="I13" s="704">
        <f t="shared" si="0"/>
        <v>92003.28</v>
      </c>
      <c r="J13" s="498"/>
      <c r="K13" s="498"/>
      <c r="L13" s="498"/>
      <c r="M13" s="362"/>
      <c r="N13" s="362"/>
      <c r="O13" s="362"/>
      <c r="P13" s="362"/>
      <c r="Q13" s="362"/>
      <c r="R13" s="362"/>
      <c r="S13" s="361"/>
      <c r="T13" s="110"/>
    </row>
    <row r="14" spans="2:20" ht="45" customHeight="1">
      <c r="B14" s="511" t="s">
        <v>331</v>
      </c>
      <c r="C14" s="90" t="str">
        <f>DADOS_CONSULT!A38</f>
        <v>P8058</v>
      </c>
      <c r="D14" s="418" t="s">
        <v>237</v>
      </c>
      <c r="E14" s="90">
        <v>2</v>
      </c>
      <c r="F14" s="528">
        <v>264</v>
      </c>
      <c r="G14" s="528">
        <f t="shared" si="1"/>
        <v>528</v>
      </c>
      <c r="H14" s="512">
        <f>DADOS_CONSULT!D38/22</f>
        <v>436.06318181818182</v>
      </c>
      <c r="I14" s="513">
        <f t="shared" si="0"/>
        <v>230241.36</v>
      </c>
      <c r="J14" s="498"/>
      <c r="K14" s="498"/>
      <c r="L14" s="498"/>
      <c r="M14" s="362"/>
      <c r="N14" s="362"/>
      <c r="O14" s="362"/>
      <c r="P14" s="362"/>
      <c r="Q14" s="362"/>
      <c r="R14" s="362"/>
      <c r="S14" s="361"/>
      <c r="T14" s="110"/>
    </row>
    <row r="15" spans="2:20" ht="29.25" customHeight="1">
      <c r="B15" s="511" t="s">
        <v>332</v>
      </c>
      <c r="C15" s="90" t="str">
        <f>DADOS_CONSULT!A11</f>
        <v>P8014</v>
      </c>
      <c r="D15" s="418" t="s">
        <v>237</v>
      </c>
      <c r="E15" s="90">
        <v>1</v>
      </c>
      <c r="F15" s="528">
        <v>264</v>
      </c>
      <c r="G15" s="528">
        <f t="shared" si="1"/>
        <v>264</v>
      </c>
      <c r="H15" s="512">
        <f>DADOS_CONSULT!D11/22</f>
        <v>450.76727272727271</v>
      </c>
      <c r="I15" s="513">
        <f t="shared" si="0"/>
        <v>119002.56</v>
      </c>
      <c r="J15" s="498"/>
      <c r="K15" s="498"/>
      <c r="L15" s="498"/>
      <c r="M15" s="362"/>
      <c r="N15" s="362"/>
      <c r="O15" s="362"/>
      <c r="P15" s="362"/>
      <c r="Q15" s="362"/>
      <c r="R15" s="362"/>
      <c r="S15" s="361"/>
      <c r="T15" s="110"/>
    </row>
    <row r="16" spans="2:20" ht="15.75" customHeight="1">
      <c r="B16" s="98" t="s">
        <v>663</v>
      </c>
      <c r="C16" s="90" t="str">
        <f>DADOS_CONSULT!A78</f>
        <v>P8143</v>
      </c>
      <c r="D16" s="418" t="s">
        <v>237</v>
      </c>
      <c r="E16" s="90">
        <v>2</v>
      </c>
      <c r="F16" s="528">
        <v>264</v>
      </c>
      <c r="G16" s="528">
        <f t="shared" si="1"/>
        <v>528</v>
      </c>
      <c r="H16" s="512">
        <f>DADOS_CONSULT!D78/22</f>
        <v>104.15272727272728</v>
      </c>
      <c r="I16" s="513">
        <f>TRUNC(H16*G16,2)</f>
        <v>54992.639999999999</v>
      </c>
      <c r="J16" s="498"/>
      <c r="K16" s="498"/>
      <c r="L16" s="498"/>
      <c r="M16" s="362"/>
      <c r="N16" s="362"/>
      <c r="O16" s="362"/>
      <c r="P16" s="362"/>
      <c r="Q16" s="362"/>
      <c r="R16" s="362"/>
      <c r="S16" s="361"/>
      <c r="T16" s="110"/>
    </row>
    <row r="17" spans="2:20" ht="14.25" customHeight="1">
      <c r="B17" s="98" t="s">
        <v>238</v>
      </c>
      <c r="C17" s="500" t="str">
        <f>DADOS_CONSULT!A66</f>
        <v>P8113</v>
      </c>
      <c r="D17" s="81" t="s">
        <v>237</v>
      </c>
      <c r="E17" s="500">
        <v>1</v>
      </c>
      <c r="F17" s="528">
        <v>264</v>
      </c>
      <c r="G17" s="528">
        <f t="shared" si="1"/>
        <v>264</v>
      </c>
      <c r="H17" s="295">
        <f>DADOS_CONSULT!D65/22</f>
        <v>82.689090909090908</v>
      </c>
      <c r="I17" s="326">
        <f t="shared" si="0"/>
        <v>21829.919999999998</v>
      </c>
      <c r="J17" s="498"/>
      <c r="K17" s="498"/>
      <c r="L17" s="498"/>
      <c r="M17" s="362"/>
      <c r="N17" s="362"/>
      <c r="O17" s="362"/>
      <c r="P17" s="362"/>
      <c r="Q17" s="362"/>
      <c r="R17" s="362"/>
      <c r="S17" s="361"/>
      <c r="T17" s="110"/>
    </row>
    <row r="18" spans="2:20" ht="14.25" customHeight="1">
      <c r="B18" s="603" t="s">
        <v>644</v>
      </c>
      <c r="C18" s="500"/>
      <c r="D18" s="81"/>
      <c r="E18" s="500"/>
      <c r="F18" s="500"/>
      <c r="G18" s="500"/>
      <c r="H18" s="295"/>
      <c r="I18" s="296">
        <f>SUM(I9:I17)</f>
        <v>1198772.0399999998</v>
      </c>
      <c r="J18" s="498">
        <v>18</v>
      </c>
      <c r="K18" s="498"/>
      <c r="L18" s="498"/>
      <c r="M18" s="362"/>
      <c r="N18" s="363"/>
      <c r="O18" s="362"/>
      <c r="P18" s="363"/>
      <c r="Q18" s="362"/>
      <c r="R18" s="363"/>
      <c r="S18" s="361"/>
      <c r="T18" s="110"/>
    </row>
    <row r="19" spans="2:20" ht="14.25" customHeight="1">
      <c r="B19" s="98"/>
      <c r="C19" s="500"/>
      <c r="D19" s="81"/>
      <c r="E19" s="500"/>
      <c r="F19" s="500"/>
      <c r="G19" s="595"/>
      <c r="H19" s="295"/>
      <c r="I19" s="296"/>
      <c r="J19" s="593"/>
      <c r="K19" s="498"/>
      <c r="L19" s="498"/>
      <c r="M19" s="362"/>
      <c r="N19" s="363"/>
      <c r="O19" s="362"/>
      <c r="P19" s="363"/>
      <c r="Q19" s="362"/>
      <c r="R19" s="363"/>
      <c r="S19" s="361"/>
      <c r="T19" s="110"/>
    </row>
    <row r="20" spans="2:20">
      <c r="B20" s="105" t="s">
        <v>651</v>
      </c>
      <c r="C20" s="307"/>
      <c r="D20" s="306"/>
      <c r="E20" s="306"/>
      <c r="F20" s="306"/>
      <c r="G20" s="595" t="s">
        <v>637</v>
      </c>
      <c r="H20" s="295" t="s">
        <v>636</v>
      </c>
      <c r="I20" s="326"/>
      <c r="J20" s="593"/>
      <c r="K20" s="498"/>
      <c r="L20" s="498"/>
      <c r="M20" s="362"/>
      <c r="N20" s="362"/>
      <c r="O20" s="362"/>
      <c r="P20" s="362"/>
      <c r="Q20" s="362"/>
      <c r="R20" s="362"/>
      <c r="S20" s="361"/>
      <c r="T20" s="110"/>
    </row>
    <row r="21" spans="2:20">
      <c r="B21" s="511" t="s">
        <v>668</v>
      </c>
      <c r="C21" s="307"/>
      <c r="D21" s="306"/>
      <c r="E21" s="306"/>
      <c r="F21" s="306"/>
      <c r="G21" s="601">
        <f>DADOS_CONSULT!W39/100</f>
        <v>0.8659</v>
      </c>
      <c r="H21" s="512">
        <v>1</v>
      </c>
      <c r="I21" s="326">
        <f>G21*H21*I9</f>
        <v>122895.316656</v>
      </c>
      <c r="J21" s="593"/>
      <c r="K21" s="593"/>
      <c r="L21" s="593"/>
      <c r="M21" s="362"/>
      <c r="N21" s="362"/>
      <c r="O21" s="362"/>
      <c r="P21" s="362"/>
      <c r="Q21" s="362"/>
      <c r="R21" s="362"/>
      <c r="S21" s="361"/>
      <c r="T21" s="110"/>
    </row>
    <row r="22" spans="2:20">
      <c r="B22" s="511" t="s">
        <v>669</v>
      </c>
      <c r="C22" s="307"/>
      <c r="D22" s="306"/>
      <c r="E22" s="306"/>
      <c r="F22" s="306"/>
      <c r="G22" s="601">
        <f>DADOS_CONSULT!W38/100</f>
        <v>0.88090000000000002</v>
      </c>
      <c r="H22" s="512">
        <v>1</v>
      </c>
      <c r="I22" s="326">
        <f>G22*H22*I14</f>
        <v>202819.61402399998</v>
      </c>
      <c r="J22" s="593"/>
      <c r="K22" s="593"/>
      <c r="L22" s="593"/>
      <c r="M22" s="362"/>
      <c r="N22" s="362"/>
      <c r="O22" s="362"/>
      <c r="P22" s="362"/>
      <c r="Q22" s="362"/>
      <c r="R22" s="362"/>
      <c r="S22" s="361"/>
      <c r="T22" s="110"/>
    </row>
    <row r="23" spans="2:20">
      <c r="B23" s="511" t="s">
        <v>664</v>
      </c>
      <c r="C23" s="307"/>
      <c r="D23" s="306"/>
      <c r="E23" s="306"/>
      <c r="F23" s="306"/>
      <c r="G23" s="601">
        <f>DADOS_CONSULT!W46/100</f>
        <v>0.87639999999999996</v>
      </c>
      <c r="H23" s="512">
        <v>1</v>
      </c>
      <c r="I23" s="326">
        <f>G23*H23*I10</f>
        <v>106477.657104</v>
      </c>
      <c r="J23" s="593"/>
      <c r="K23" s="593"/>
      <c r="L23" s="593"/>
      <c r="M23" s="362"/>
      <c r="N23" s="362"/>
      <c r="O23" s="362"/>
      <c r="P23" s="362"/>
      <c r="Q23" s="362"/>
      <c r="R23" s="362"/>
      <c r="S23" s="361"/>
      <c r="T23" s="110"/>
    </row>
    <row r="24" spans="2:20">
      <c r="B24" s="511" t="s">
        <v>665</v>
      </c>
      <c r="C24" s="307"/>
      <c r="D24" s="306"/>
      <c r="E24" s="306"/>
      <c r="F24" s="306"/>
      <c r="G24" s="601">
        <f>DADOS_CONSULT!W82/100</f>
        <v>1.0011000000000001</v>
      </c>
      <c r="H24" s="512">
        <v>1</v>
      </c>
      <c r="I24" s="326">
        <f>G24*H24*I11</f>
        <v>38489.572008000003</v>
      </c>
      <c r="J24" s="593"/>
      <c r="K24" s="593"/>
      <c r="L24" s="593"/>
      <c r="M24" s="362"/>
      <c r="N24" s="362"/>
      <c r="O24" s="362"/>
      <c r="P24" s="362"/>
      <c r="Q24" s="362"/>
      <c r="R24" s="362"/>
      <c r="S24" s="361"/>
      <c r="T24" s="110"/>
    </row>
    <row r="25" spans="2:20">
      <c r="B25" s="511" t="s">
        <v>666</v>
      </c>
      <c r="C25" s="307"/>
      <c r="D25" s="306"/>
      <c r="E25" s="306"/>
      <c r="F25" s="306"/>
      <c r="G25" s="601">
        <f>DADOS_CONSULT!W50/100</f>
        <v>0.85159999999999991</v>
      </c>
      <c r="H25" s="512">
        <v>1</v>
      </c>
      <c r="I25" s="326">
        <f>G25*H25*I12</f>
        <v>322614.01247999998</v>
      </c>
      <c r="J25" s="593"/>
      <c r="K25" s="593"/>
      <c r="L25" s="593"/>
      <c r="M25" s="362"/>
      <c r="N25" s="362"/>
      <c r="O25" s="362"/>
      <c r="P25" s="362"/>
      <c r="Q25" s="362"/>
      <c r="R25" s="362"/>
      <c r="S25" s="361"/>
      <c r="T25" s="110"/>
    </row>
    <row r="26" spans="2:20">
      <c r="B26" s="511" t="s">
        <v>327</v>
      </c>
      <c r="C26" s="307"/>
      <c r="D26" s="306"/>
      <c r="E26" s="306"/>
      <c r="F26" s="306"/>
      <c r="G26" s="601">
        <f>DADOS_CONSULT!W80/100</f>
        <v>0.97310000000000008</v>
      </c>
      <c r="H26" s="512">
        <v>1</v>
      </c>
      <c r="I26" s="326">
        <f>G26*H26*I13</f>
        <v>89528.391768000001</v>
      </c>
      <c r="J26" s="593"/>
      <c r="K26" s="593"/>
      <c r="L26" s="593"/>
      <c r="M26" s="362"/>
      <c r="N26" s="362"/>
      <c r="O26" s="362"/>
      <c r="P26" s="362"/>
      <c r="Q26" s="362"/>
      <c r="R26" s="362"/>
      <c r="S26" s="361"/>
      <c r="T26" s="110"/>
    </row>
    <row r="27" spans="2:20">
      <c r="B27" s="511" t="s">
        <v>667</v>
      </c>
      <c r="C27" s="307"/>
      <c r="D27" s="306"/>
      <c r="E27" s="306"/>
      <c r="F27" s="306"/>
      <c r="G27" s="601">
        <f>DADOS_CONSULT!W11/100</f>
        <v>0.87730000000000008</v>
      </c>
      <c r="H27" s="512">
        <v>1</v>
      </c>
      <c r="I27" s="326">
        <f>G27*H27*I15</f>
        <v>104400.945888</v>
      </c>
      <c r="J27" s="593"/>
      <c r="K27" s="593"/>
      <c r="L27" s="593"/>
      <c r="M27" s="362"/>
      <c r="N27" s="362"/>
      <c r="O27" s="362"/>
      <c r="P27" s="362"/>
      <c r="Q27" s="362"/>
      <c r="R27" s="362"/>
      <c r="S27" s="361"/>
      <c r="T27" s="110"/>
    </row>
    <row r="28" spans="2:20">
      <c r="B28" s="511" t="s">
        <v>663</v>
      </c>
      <c r="C28" s="307"/>
      <c r="D28" s="306"/>
      <c r="E28" s="306"/>
      <c r="F28" s="306"/>
      <c r="G28" s="601">
        <f>DADOS_CONSULT!W78/100</f>
        <v>1.1345000000000001</v>
      </c>
      <c r="H28" s="512">
        <v>1</v>
      </c>
      <c r="I28" s="326">
        <f>G28*H28*I16</f>
        <v>62389.150079999999</v>
      </c>
      <c r="J28" s="593"/>
      <c r="K28" s="593"/>
      <c r="L28" s="593"/>
      <c r="M28" s="362"/>
      <c r="N28" s="362"/>
      <c r="O28" s="362"/>
      <c r="P28" s="362"/>
      <c r="Q28" s="362"/>
      <c r="R28" s="362"/>
      <c r="S28" s="361"/>
      <c r="T28" s="110"/>
    </row>
    <row r="29" spans="2:20">
      <c r="B29" s="511" t="s">
        <v>238</v>
      </c>
      <c r="C29" s="307"/>
      <c r="D29" s="306"/>
      <c r="E29" s="306"/>
      <c r="F29" s="306"/>
      <c r="G29" s="601">
        <f>DADOS_CONSULT!W66/100</f>
        <v>1.298</v>
      </c>
      <c r="H29" s="512">
        <v>1</v>
      </c>
      <c r="I29" s="326">
        <f>G29*H29*I17</f>
        <v>28335.23616</v>
      </c>
      <c r="J29" s="593"/>
      <c r="K29" s="593"/>
      <c r="L29" s="593"/>
      <c r="M29" s="362"/>
      <c r="N29" s="362"/>
      <c r="O29" s="362"/>
      <c r="P29" s="362"/>
      <c r="Q29" s="362"/>
      <c r="R29" s="362"/>
      <c r="S29" s="361"/>
      <c r="T29" s="110"/>
    </row>
    <row r="30" spans="2:20">
      <c r="B30" s="603" t="s">
        <v>645</v>
      </c>
      <c r="C30" s="307"/>
      <c r="D30" s="306"/>
      <c r="E30" s="306"/>
      <c r="F30" s="306"/>
      <c r="G30" s="601"/>
      <c r="H30" s="295"/>
      <c r="I30" s="296">
        <f>SUM(I21:I29)</f>
        <v>1077949.8961680001</v>
      </c>
      <c r="J30" s="593">
        <v>30</v>
      </c>
      <c r="K30" s="498"/>
      <c r="L30" s="364"/>
      <c r="M30" s="362"/>
      <c r="N30" s="365"/>
      <c r="O30" s="362"/>
      <c r="P30" s="365"/>
      <c r="Q30" s="362"/>
      <c r="R30" s="365"/>
      <c r="S30" s="361"/>
      <c r="T30" s="110"/>
    </row>
    <row r="31" spans="2:20">
      <c r="B31" s="71"/>
      <c r="C31" s="75"/>
      <c r="D31" s="595"/>
      <c r="E31" s="595"/>
      <c r="F31" s="595"/>
      <c r="G31" s="601"/>
      <c r="H31" s="295"/>
      <c r="I31" s="296"/>
      <c r="J31" s="593"/>
      <c r="K31" s="498"/>
      <c r="L31" s="364"/>
      <c r="M31" s="362"/>
      <c r="N31" s="363"/>
      <c r="O31" s="362"/>
      <c r="P31" s="363"/>
      <c r="Q31" s="362"/>
      <c r="R31" s="363"/>
      <c r="S31" s="361"/>
      <c r="T31" s="110"/>
    </row>
    <row r="32" spans="2:20">
      <c r="B32" s="105" t="s">
        <v>671</v>
      </c>
      <c r="C32" s="75"/>
      <c r="D32" s="594"/>
      <c r="E32" s="594" t="s">
        <v>48</v>
      </c>
      <c r="F32" s="594" t="s">
        <v>60</v>
      </c>
      <c r="G32" s="594" t="s">
        <v>638</v>
      </c>
      <c r="H32" s="594" t="s">
        <v>54</v>
      </c>
      <c r="I32" s="370" t="s">
        <v>14</v>
      </c>
      <c r="J32" s="356"/>
      <c r="K32" s="356"/>
      <c r="L32" s="356"/>
      <c r="M32" s="356"/>
      <c r="N32" s="356"/>
      <c r="O32" s="356"/>
      <c r="P32" s="356"/>
      <c r="Q32" s="356"/>
      <c r="R32" s="356"/>
      <c r="S32" s="361"/>
      <c r="T32" s="110"/>
    </row>
    <row r="33" spans="2:20">
      <c r="B33" s="71" t="s">
        <v>333</v>
      </c>
      <c r="C33" s="75"/>
      <c r="D33" s="595"/>
      <c r="E33" s="595">
        <v>1</v>
      </c>
      <c r="F33" s="595">
        <v>264</v>
      </c>
      <c r="G33" s="74">
        <f>F33*8</f>
        <v>2112</v>
      </c>
      <c r="H33" s="295">
        <f>DADOS_CONSULT!AF14</f>
        <v>52.03</v>
      </c>
      <c r="I33" s="326">
        <f>TRUNC(H33*G33,2)</f>
        <v>109887.36</v>
      </c>
      <c r="J33" s="592"/>
      <c r="K33" s="497"/>
      <c r="L33" s="497"/>
      <c r="M33" s="497"/>
      <c r="N33" s="497"/>
      <c r="O33" s="497"/>
      <c r="P33" s="497"/>
      <c r="Q33" s="497"/>
      <c r="R33" s="497"/>
      <c r="S33" s="361"/>
      <c r="T33" s="110"/>
    </row>
    <row r="34" spans="2:20">
      <c r="B34" s="71" t="s">
        <v>672</v>
      </c>
      <c r="C34" s="75"/>
      <c r="D34" s="595"/>
      <c r="E34" s="595">
        <v>1</v>
      </c>
      <c r="F34" s="595">
        <v>264</v>
      </c>
      <c r="G34" s="74">
        <f t="shared" ref="G34:G35" si="2">F34*8</f>
        <v>2112</v>
      </c>
      <c r="H34" s="295">
        <f>DADOS_CONSULT!AF12</f>
        <v>23.89</v>
      </c>
      <c r="I34" s="326">
        <f>TRUNC(H34*G34,2)</f>
        <v>50455.68</v>
      </c>
      <c r="J34" s="592"/>
      <c r="K34" s="497"/>
      <c r="L34" s="497"/>
      <c r="M34" s="497"/>
      <c r="N34" s="497"/>
      <c r="O34" s="497"/>
      <c r="P34" s="497"/>
      <c r="Q34" s="497"/>
      <c r="R34" s="497"/>
      <c r="S34" s="361"/>
      <c r="T34" s="110"/>
    </row>
    <row r="35" spans="2:20">
      <c r="B35" s="71" t="s">
        <v>75</v>
      </c>
      <c r="C35" s="75"/>
      <c r="D35" s="595"/>
      <c r="E35" s="595">
        <v>1</v>
      </c>
      <c r="F35" s="595">
        <v>264</v>
      </c>
      <c r="G35" s="74">
        <f t="shared" si="2"/>
        <v>2112</v>
      </c>
      <c r="H35" s="295">
        <f>DADOS!K43/24</f>
        <v>0.45394286293555569</v>
      </c>
      <c r="I35" s="326">
        <f>TRUNC(H35*G35,2)</f>
        <v>958.72</v>
      </c>
      <c r="J35" s="593"/>
      <c r="K35" s="498"/>
      <c r="L35" s="366"/>
      <c r="M35" s="362"/>
      <c r="N35" s="365"/>
      <c r="O35" s="362"/>
      <c r="P35" s="365"/>
      <c r="Q35" s="362"/>
      <c r="R35" s="365"/>
      <c r="S35" s="361"/>
      <c r="T35" s="110"/>
    </row>
    <row r="36" spans="2:20">
      <c r="B36" s="603" t="s">
        <v>646</v>
      </c>
      <c r="C36" s="75"/>
      <c r="D36" s="595"/>
      <c r="E36" s="595"/>
      <c r="F36" s="595"/>
      <c r="G36" s="74"/>
      <c r="H36" s="295"/>
      <c r="I36" s="296">
        <f>SUM(I33:I35)</f>
        <v>161301.76000000001</v>
      </c>
      <c r="J36" s="593">
        <v>36</v>
      </c>
      <c r="K36" s="498"/>
      <c r="L36" s="366"/>
      <c r="M36" s="362"/>
      <c r="N36" s="365"/>
      <c r="O36" s="362"/>
      <c r="P36" s="365"/>
      <c r="Q36" s="362"/>
      <c r="R36" s="365"/>
      <c r="S36" s="361"/>
      <c r="T36" s="110"/>
    </row>
    <row r="37" spans="2:20">
      <c r="B37" s="71"/>
      <c r="C37" s="75"/>
      <c r="D37" s="595"/>
      <c r="E37" s="595"/>
      <c r="F37" s="595"/>
      <c r="G37" s="74"/>
      <c r="H37" s="295"/>
      <c r="I37" s="602"/>
      <c r="J37" s="593"/>
      <c r="K37" s="498"/>
      <c r="L37" s="366"/>
      <c r="M37" s="362"/>
      <c r="N37" s="365"/>
      <c r="O37" s="362"/>
      <c r="P37" s="365"/>
      <c r="Q37" s="362"/>
      <c r="R37" s="365"/>
      <c r="S37" s="361"/>
      <c r="T37" s="110"/>
    </row>
    <row r="38" spans="2:20" ht="12" customHeight="1">
      <c r="B38" s="910"/>
      <c r="C38" s="911"/>
      <c r="D38" s="911"/>
      <c r="E38" s="911"/>
      <c r="F38" s="911"/>
      <c r="G38" s="911"/>
      <c r="H38" s="911"/>
      <c r="I38" s="912"/>
      <c r="J38" s="356"/>
      <c r="K38" s="356"/>
      <c r="L38" s="356"/>
      <c r="M38" s="356"/>
      <c r="N38" s="356"/>
      <c r="O38" s="356"/>
      <c r="P38" s="356"/>
      <c r="Q38" s="356"/>
      <c r="R38" s="356"/>
      <c r="S38" s="361"/>
      <c r="T38" s="110"/>
    </row>
    <row r="39" spans="2:20" ht="13.5" customHeight="1">
      <c r="B39" s="913" t="s">
        <v>86</v>
      </c>
      <c r="C39" s="914"/>
      <c r="D39" s="914"/>
      <c r="E39" s="914"/>
      <c r="F39" s="914"/>
      <c r="G39" s="914"/>
      <c r="H39" s="914"/>
      <c r="I39" s="233">
        <f>SUM(I18+I30+I36)</f>
        <v>2438023.6961679999</v>
      </c>
      <c r="J39" s="600">
        <v>39</v>
      </c>
      <c r="K39" s="356"/>
      <c r="L39" s="356"/>
      <c r="M39" s="356"/>
      <c r="N39" s="367"/>
      <c r="O39" s="356"/>
      <c r="P39" s="367"/>
      <c r="Q39" s="356"/>
      <c r="R39" s="367"/>
      <c r="S39" s="361"/>
      <c r="T39" s="110"/>
    </row>
    <row r="40" spans="2:20">
      <c r="B40" s="915"/>
      <c r="C40" s="916"/>
      <c r="D40" s="916"/>
      <c r="E40" s="916"/>
      <c r="F40" s="916"/>
      <c r="G40" s="916"/>
      <c r="H40" s="916"/>
      <c r="I40" s="917"/>
      <c r="J40" s="356"/>
      <c r="K40" s="356"/>
      <c r="L40" s="356"/>
      <c r="M40" s="356"/>
      <c r="N40" s="356"/>
      <c r="O40" s="356"/>
      <c r="P40" s="356"/>
      <c r="Q40" s="356"/>
      <c r="R40" s="356"/>
      <c r="S40" s="361"/>
      <c r="T40" s="110"/>
    </row>
    <row r="41" spans="2:20">
      <c r="B41" s="900" t="s">
        <v>38</v>
      </c>
      <c r="C41" s="901"/>
      <c r="D41" s="902"/>
      <c r="E41" s="575"/>
      <c r="F41" s="575"/>
      <c r="G41" s="579"/>
      <c r="H41" s="580"/>
      <c r="I41" s="581"/>
      <c r="J41" s="362"/>
      <c r="K41" s="363"/>
      <c r="L41" s="362"/>
      <c r="M41" s="363"/>
      <c r="N41" s="362"/>
      <c r="O41" s="363"/>
      <c r="P41" s="361"/>
      <c r="Q41" s="110"/>
    </row>
    <row r="42" spans="2:20">
      <c r="B42" s="610" t="s">
        <v>649</v>
      </c>
      <c r="C42" s="609"/>
      <c r="D42" s="608"/>
      <c r="E42" s="609"/>
      <c r="F42" s="609"/>
      <c r="G42" s="611"/>
      <c r="H42" s="609"/>
      <c r="I42" s="581"/>
      <c r="J42" s="362"/>
      <c r="K42" s="363"/>
      <c r="L42" s="362"/>
      <c r="M42" s="363"/>
      <c r="N42" s="362"/>
      <c r="O42" s="363"/>
      <c r="P42" s="361"/>
      <c r="Q42" s="110"/>
    </row>
    <row r="43" spans="2:20">
      <c r="B43" s="614" t="s">
        <v>639</v>
      </c>
      <c r="C43" s="609"/>
      <c r="D43" s="608"/>
      <c r="E43" s="609"/>
      <c r="F43" s="609"/>
      <c r="G43" s="612">
        <v>0.1</v>
      </c>
      <c r="H43" s="609"/>
      <c r="I43" s="606">
        <f>G43*$I$39</f>
        <v>243802.36961679999</v>
      </c>
      <c r="J43" s="362"/>
      <c r="K43" s="363"/>
      <c r="L43" s="362"/>
      <c r="M43" s="363"/>
      <c r="N43" s="362"/>
      <c r="O43" s="363"/>
      <c r="P43" s="361"/>
      <c r="Q43" s="110"/>
    </row>
    <row r="44" spans="2:20">
      <c r="B44" s="614" t="s">
        <v>640</v>
      </c>
      <c r="C44" s="609"/>
      <c r="D44" s="608"/>
      <c r="E44" s="609"/>
      <c r="F44" s="609"/>
      <c r="G44" s="612">
        <v>2.5000000000000001E-3</v>
      </c>
      <c r="H44" s="609"/>
      <c r="I44" s="606">
        <f>G44*$I$39</f>
        <v>6095.0592404199997</v>
      </c>
      <c r="J44" s="362"/>
      <c r="K44" s="363"/>
      <c r="L44" s="362"/>
      <c r="M44" s="363"/>
      <c r="N44" s="362"/>
      <c r="O44" s="363"/>
      <c r="P44" s="361"/>
      <c r="Q44" s="110"/>
    </row>
    <row r="45" spans="2:20">
      <c r="B45" s="614" t="s">
        <v>641</v>
      </c>
      <c r="C45" s="609"/>
      <c r="D45" s="608"/>
      <c r="E45" s="609"/>
      <c r="F45" s="609"/>
      <c r="G45" s="612">
        <v>7.1999999999999998E-3</v>
      </c>
      <c r="H45" s="609"/>
      <c r="I45" s="606">
        <f>G45*$I$39</f>
        <v>17553.7706124096</v>
      </c>
      <c r="J45" s="362"/>
      <c r="K45" s="363"/>
      <c r="L45" s="362"/>
      <c r="M45" s="363"/>
      <c r="N45" s="362"/>
      <c r="O45" s="363"/>
      <c r="P45" s="361"/>
      <c r="Q45" s="110"/>
    </row>
    <row r="46" spans="2:20">
      <c r="B46" s="614" t="s">
        <v>642</v>
      </c>
      <c r="C46" s="609"/>
      <c r="D46" s="608"/>
      <c r="E46" s="609"/>
      <c r="F46" s="609"/>
      <c r="G46" s="612">
        <v>1.4E-3</v>
      </c>
      <c r="H46" s="609"/>
      <c r="I46" s="606">
        <f>G46*$I$39</f>
        <v>3413.2331746351997</v>
      </c>
      <c r="J46" s="362"/>
      <c r="K46" s="363"/>
      <c r="L46" s="362"/>
      <c r="M46" s="363"/>
      <c r="N46" s="362"/>
      <c r="O46" s="363"/>
      <c r="P46" s="361"/>
      <c r="Q46" s="110"/>
    </row>
    <row r="47" spans="2:20">
      <c r="B47" s="603" t="s">
        <v>648</v>
      </c>
      <c r="C47" s="609"/>
      <c r="D47" s="608"/>
      <c r="E47" s="609"/>
      <c r="F47" s="609"/>
      <c r="G47" s="612">
        <v>0.1111</v>
      </c>
      <c r="H47" s="609"/>
      <c r="I47" s="157">
        <f>SUM(I43:I46)</f>
        <v>270864.43264426477</v>
      </c>
      <c r="J47" s="600">
        <v>47</v>
      </c>
      <c r="K47" s="363"/>
      <c r="L47" s="362"/>
      <c r="M47" s="363"/>
      <c r="N47" s="362"/>
      <c r="O47" s="363"/>
      <c r="P47" s="361"/>
      <c r="Q47" s="110"/>
    </row>
    <row r="48" spans="2:20">
      <c r="B48" s="610"/>
      <c r="C48" s="609"/>
      <c r="D48" s="608"/>
      <c r="E48" s="609"/>
      <c r="F48" s="609"/>
      <c r="G48" s="609"/>
      <c r="H48" s="609"/>
      <c r="I48" s="581"/>
      <c r="J48" s="362"/>
      <c r="K48" s="363"/>
      <c r="L48" s="362"/>
      <c r="M48" s="363"/>
      <c r="N48" s="362"/>
      <c r="O48" s="363"/>
      <c r="P48" s="361"/>
      <c r="Q48" s="110"/>
    </row>
    <row r="49" spans="2:20">
      <c r="B49" s="610" t="s">
        <v>654</v>
      </c>
      <c r="C49" s="609"/>
      <c r="D49" s="608"/>
      <c r="E49" s="609"/>
      <c r="F49" s="609"/>
      <c r="G49" s="609"/>
      <c r="H49" s="609"/>
      <c r="I49" s="581"/>
      <c r="J49" s="362"/>
      <c r="K49" s="363"/>
      <c r="L49" s="362"/>
      <c r="M49" s="363"/>
      <c r="N49" s="362"/>
      <c r="O49" s="363"/>
      <c r="P49" s="361"/>
      <c r="Q49" s="110"/>
    </row>
    <row r="50" spans="2:20">
      <c r="B50" s="610" t="s">
        <v>673</v>
      </c>
      <c r="C50" s="609"/>
      <c r="D50" s="608"/>
      <c r="E50" s="609"/>
      <c r="F50" s="609"/>
      <c r="G50" s="612">
        <v>0.12</v>
      </c>
      <c r="H50" s="609"/>
      <c r="I50" s="604">
        <f>G50*I39</f>
        <v>292562.84354015999</v>
      </c>
      <c r="J50" s="600">
        <v>50</v>
      </c>
      <c r="K50" s="363"/>
      <c r="L50" s="362"/>
      <c r="M50" s="363"/>
      <c r="N50" s="362"/>
      <c r="O50" s="363"/>
      <c r="P50" s="361"/>
      <c r="Q50" s="110"/>
    </row>
    <row r="51" spans="2:20">
      <c r="B51" s="610"/>
      <c r="C51" s="609"/>
      <c r="D51" s="608"/>
      <c r="E51" s="609"/>
      <c r="F51" s="609"/>
      <c r="G51" s="609"/>
      <c r="H51" s="609"/>
      <c r="I51" s="581"/>
      <c r="J51" s="362"/>
      <c r="K51" s="363"/>
      <c r="L51" s="362"/>
      <c r="M51" s="363"/>
      <c r="N51" s="362"/>
      <c r="O51" s="363"/>
      <c r="P51" s="361"/>
      <c r="Q51" s="110"/>
    </row>
    <row r="52" spans="2:20">
      <c r="B52" s="610" t="s">
        <v>655</v>
      </c>
      <c r="C52" s="609"/>
      <c r="D52" s="608"/>
      <c r="E52" s="609"/>
      <c r="F52" s="609"/>
      <c r="G52" s="612"/>
      <c r="H52" s="609"/>
      <c r="I52" s="581"/>
      <c r="J52" s="362"/>
      <c r="K52" s="363"/>
      <c r="L52" s="362"/>
      <c r="M52" s="363"/>
      <c r="N52" s="362"/>
      <c r="O52" s="363"/>
      <c r="P52" s="361"/>
      <c r="Q52" s="110"/>
    </row>
    <row r="53" spans="2:20">
      <c r="B53" s="614" t="s">
        <v>656</v>
      </c>
      <c r="C53" s="609"/>
      <c r="D53" s="608"/>
      <c r="E53" s="609"/>
      <c r="F53" s="609"/>
      <c r="G53" s="612">
        <v>2.3699999999999999E-2</v>
      </c>
      <c r="H53" s="609"/>
      <c r="I53" s="606">
        <f>G53*$I$39</f>
        <v>57781.161599181592</v>
      </c>
      <c r="J53" s="362"/>
      <c r="K53" s="365"/>
      <c r="L53" s="362"/>
      <c r="M53" s="365"/>
      <c r="N53" s="362"/>
      <c r="O53" s="365"/>
      <c r="P53" s="361"/>
      <c r="Q53" s="110"/>
    </row>
    <row r="54" spans="2:20">
      <c r="B54" s="614" t="s">
        <v>657</v>
      </c>
      <c r="C54" s="609"/>
      <c r="D54" s="608"/>
      <c r="E54" s="609"/>
      <c r="F54" s="609"/>
      <c r="G54" s="612">
        <v>0.1091</v>
      </c>
      <c r="H54" s="609"/>
      <c r="I54" s="606">
        <f>G54*$I$39</f>
        <v>265988.38525192882</v>
      </c>
      <c r="J54" s="362"/>
      <c r="K54" s="365"/>
      <c r="L54" s="362"/>
      <c r="M54" s="365"/>
      <c r="N54" s="362"/>
      <c r="O54" s="365"/>
      <c r="P54" s="361"/>
      <c r="Q54" s="110"/>
    </row>
    <row r="55" spans="2:20">
      <c r="B55" s="614" t="s">
        <v>658</v>
      </c>
      <c r="C55" s="609"/>
      <c r="D55" s="608"/>
      <c r="E55" s="609"/>
      <c r="F55" s="609"/>
      <c r="G55" s="612">
        <v>7.1800000000000003E-2</v>
      </c>
      <c r="H55" s="609"/>
      <c r="I55" s="606">
        <f>G55*$I$39</f>
        <v>175050.10138486238</v>
      </c>
      <c r="J55" s="362"/>
      <c r="K55" s="363"/>
      <c r="L55" s="362"/>
      <c r="M55" s="363"/>
      <c r="N55" s="362"/>
      <c r="O55" s="363"/>
      <c r="P55" s="361"/>
      <c r="Q55" s="110"/>
    </row>
    <row r="56" spans="2:20">
      <c r="B56" s="610"/>
      <c r="C56" s="609"/>
      <c r="D56" s="608"/>
      <c r="E56" s="609"/>
      <c r="F56" s="609"/>
      <c r="G56" s="611"/>
      <c r="H56" s="609"/>
      <c r="I56" s="157">
        <f>SUM(I53:I55)</f>
        <v>498819.6482359728</v>
      </c>
      <c r="J56" s="600">
        <v>56</v>
      </c>
      <c r="K56" s="365"/>
      <c r="L56" s="362"/>
      <c r="M56" s="365"/>
      <c r="N56" s="362"/>
      <c r="O56" s="365"/>
      <c r="P56" s="361"/>
      <c r="Q56" s="110"/>
    </row>
    <row r="57" spans="2:20">
      <c r="B57" s="925"/>
      <c r="C57" s="926"/>
      <c r="D57" s="926"/>
      <c r="E57" s="926"/>
      <c r="F57" s="926"/>
      <c r="G57" s="926"/>
      <c r="H57" s="926"/>
      <c r="I57" s="927"/>
      <c r="J57" s="356"/>
      <c r="K57" s="356"/>
      <c r="L57" s="356"/>
      <c r="M57" s="359"/>
      <c r="N57" s="356"/>
      <c r="O57" s="359"/>
      <c r="P57" s="356"/>
      <c r="Q57" s="359"/>
      <c r="R57" s="356"/>
      <c r="S57" s="361"/>
      <c r="T57" s="110"/>
    </row>
    <row r="58" spans="2:20" ht="13.5" customHeight="1">
      <c r="B58" s="913" t="s">
        <v>202</v>
      </c>
      <c r="C58" s="914"/>
      <c r="D58" s="914"/>
      <c r="E58" s="914"/>
      <c r="F58" s="914"/>
      <c r="G58" s="914"/>
      <c r="H58" s="914"/>
      <c r="I58" s="233">
        <f>I47+I50+I56</f>
        <v>1062246.9244203975</v>
      </c>
      <c r="J58" s="684">
        <v>58</v>
      </c>
      <c r="K58" s="304"/>
      <c r="L58" s="304"/>
      <c r="M58" s="368"/>
      <c r="N58" s="367"/>
      <c r="O58" s="304"/>
      <c r="P58" s="367"/>
      <c r="Q58" s="304"/>
      <c r="R58" s="367"/>
      <c r="S58" s="361"/>
      <c r="T58" s="110"/>
    </row>
    <row r="59" spans="2:20" customFormat="1">
      <c r="B59" s="918"/>
      <c r="C59" s="919"/>
      <c r="D59" s="919"/>
      <c r="E59" s="919"/>
      <c r="F59" s="919"/>
      <c r="G59" s="919"/>
      <c r="H59" s="919"/>
      <c r="I59" s="920"/>
      <c r="J59" s="304"/>
      <c r="K59" s="304"/>
      <c r="L59" s="304"/>
      <c r="M59" s="304"/>
      <c r="N59" s="304"/>
      <c r="O59" s="304"/>
      <c r="P59" s="304"/>
      <c r="Q59" s="304"/>
      <c r="R59" s="304"/>
      <c r="S59" s="361"/>
      <c r="T59" s="299"/>
    </row>
    <row r="60" spans="2:20" ht="14.25" customHeight="1" thickBot="1">
      <c r="B60" s="921" t="s">
        <v>203</v>
      </c>
      <c r="C60" s="922"/>
      <c r="D60" s="922"/>
      <c r="E60" s="922"/>
      <c r="F60" s="922"/>
      <c r="G60" s="922"/>
      <c r="H60" s="922"/>
      <c r="I60" s="85">
        <f>SUM(I39+I58)</f>
        <v>3500270.6205883976</v>
      </c>
      <c r="J60" s="304"/>
      <c r="K60" s="304"/>
      <c r="L60" s="304"/>
      <c r="M60" s="304"/>
      <c r="N60" s="369"/>
      <c r="O60" s="304"/>
      <c r="P60" s="369"/>
      <c r="Q60" s="304"/>
      <c r="R60" s="369"/>
      <c r="S60" s="356"/>
      <c r="T60" s="110"/>
    </row>
    <row r="61" spans="2:20"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356"/>
      <c r="N61" s="360"/>
      <c r="O61" s="356"/>
      <c r="P61" s="360"/>
      <c r="Q61" s="356"/>
      <c r="R61" s="360"/>
      <c r="S61" s="110"/>
      <c r="T61" s="110"/>
    </row>
    <row r="62" spans="2:20"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356"/>
      <c r="N62" s="361"/>
      <c r="O62" s="356"/>
      <c r="P62" s="356"/>
      <c r="Q62" s="356"/>
      <c r="R62" s="356"/>
      <c r="S62" s="110"/>
      <c r="T62" s="110"/>
    </row>
    <row r="63" spans="2:20" ht="12.75" customHeight="1">
      <c r="B63" s="110"/>
      <c r="C63" s="923"/>
      <c r="D63" s="924"/>
      <c r="E63" s="110"/>
      <c r="F63" s="110"/>
      <c r="G63" s="110"/>
      <c r="H63" s="110"/>
      <c r="I63" s="110"/>
      <c r="J63" s="110"/>
      <c r="K63" s="110"/>
      <c r="L63" s="110"/>
      <c r="M63" s="110"/>
      <c r="N63" s="357"/>
      <c r="O63" s="357"/>
      <c r="P63" s="357"/>
      <c r="Q63" s="110"/>
      <c r="R63" s="357"/>
      <c r="S63" s="110"/>
      <c r="T63" s="110"/>
    </row>
    <row r="64" spans="2:20" ht="15">
      <c r="B64" s="110"/>
      <c r="C64" s="291"/>
      <c r="D64" s="358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</row>
    <row r="65" spans="2:20"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</row>
    <row r="66" spans="2:20"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</row>
    <row r="67" spans="2:20"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</row>
  </sheetData>
  <mergeCells count="26">
    <mergeCell ref="B59:I59"/>
    <mergeCell ref="B60:H60"/>
    <mergeCell ref="C63:D63"/>
    <mergeCell ref="B57:I57"/>
    <mergeCell ref="B58:H58"/>
    <mergeCell ref="Q6:R6"/>
    <mergeCell ref="B7:C7"/>
    <mergeCell ref="B38:I38"/>
    <mergeCell ref="B39:H39"/>
    <mergeCell ref="B40:I40"/>
    <mergeCell ref="M6:N6"/>
    <mergeCell ref="O6:P6"/>
    <mergeCell ref="B41:D41"/>
    <mergeCell ref="B6:C6"/>
    <mergeCell ref="E6:G6"/>
    <mergeCell ref="H6:I6"/>
    <mergeCell ref="J6:L6"/>
    <mergeCell ref="S2:S5"/>
    <mergeCell ref="B3:I3"/>
    <mergeCell ref="C4:I4"/>
    <mergeCell ref="C5:I5"/>
    <mergeCell ref="B1:I1"/>
    <mergeCell ref="B2:I2"/>
    <mergeCell ref="J2:N5"/>
    <mergeCell ref="O2:P5"/>
    <mergeCell ref="Q2:R5"/>
  </mergeCells>
  <pageMargins left="0.511811024" right="0.511811024" top="0.78740157499999996" bottom="0.78740157499999996" header="0.31496062000000002" footer="0.31496062000000002"/>
  <pageSetup paperSize="9" scale="5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9"/>
  <sheetViews>
    <sheetView zoomScaleNormal="100" zoomScaleSheetLayoutView="100" workbookViewId="0">
      <selection activeCell="L27" sqref="L27"/>
    </sheetView>
  </sheetViews>
  <sheetFormatPr defaultRowHeight="12.75"/>
  <cols>
    <col min="1" max="1" width="4.85546875" style="9" customWidth="1"/>
    <col min="2" max="2" width="38.140625" style="9" customWidth="1"/>
    <col min="3" max="3" width="9.140625" style="9"/>
    <col min="4" max="4" width="10" style="9" customWidth="1"/>
    <col min="5" max="7" width="9.140625" style="9"/>
    <col min="8" max="8" width="13.7109375" style="9" customWidth="1"/>
    <col min="9" max="9" width="15.7109375" style="9" customWidth="1"/>
    <col min="10" max="11" width="9.140625" style="9"/>
    <col min="12" max="12" width="10.28515625" style="9" bestFit="1" customWidth="1"/>
    <col min="13" max="13" width="13.7109375" style="9" customWidth="1"/>
    <col min="14" max="14" width="15.7109375" style="9" customWidth="1"/>
    <col min="15" max="15" width="13.7109375" style="9" customWidth="1"/>
    <col min="16" max="16" width="15.7109375" style="9" customWidth="1"/>
    <col min="17" max="17" width="13.7109375" style="9" customWidth="1"/>
    <col min="18" max="18" width="15.7109375" style="9" customWidth="1"/>
    <col min="19" max="19" width="16.28515625" style="9" customWidth="1"/>
    <col min="20" max="256" width="9.140625" style="9"/>
    <col min="257" max="257" width="4.85546875" style="9" customWidth="1"/>
    <col min="258" max="258" width="32.7109375" style="9" customWidth="1"/>
    <col min="259" max="259" width="9.140625" style="9"/>
    <col min="260" max="260" width="10" style="9" customWidth="1"/>
    <col min="261" max="263" width="9.140625" style="9"/>
    <col min="264" max="264" width="13.7109375" style="9" customWidth="1"/>
    <col min="265" max="265" width="15.7109375" style="9" customWidth="1"/>
    <col min="266" max="268" width="9.140625" style="9"/>
    <col min="269" max="269" width="13.7109375" style="9" customWidth="1"/>
    <col min="270" max="270" width="15.7109375" style="9" customWidth="1"/>
    <col min="271" max="271" width="13.7109375" style="9" customWidth="1"/>
    <col min="272" max="272" width="15.7109375" style="9" customWidth="1"/>
    <col min="273" max="273" width="13.7109375" style="9" customWidth="1"/>
    <col min="274" max="274" width="15.7109375" style="9" customWidth="1"/>
    <col min="275" max="275" width="16.28515625" style="9" customWidth="1"/>
    <col min="276" max="512" width="9.140625" style="9"/>
    <col min="513" max="513" width="4.85546875" style="9" customWidth="1"/>
    <col min="514" max="514" width="32.7109375" style="9" customWidth="1"/>
    <col min="515" max="515" width="9.140625" style="9"/>
    <col min="516" max="516" width="10" style="9" customWidth="1"/>
    <col min="517" max="519" width="9.140625" style="9"/>
    <col min="520" max="520" width="13.7109375" style="9" customWidth="1"/>
    <col min="521" max="521" width="15.7109375" style="9" customWidth="1"/>
    <col min="522" max="524" width="9.140625" style="9"/>
    <col min="525" max="525" width="13.7109375" style="9" customWidth="1"/>
    <col min="526" max="526" width="15.7109375" style="9" customWidth="1"/>
    <col min="527" max="527" width="13.7109375" style="9" customWidth="1"/>
    <col min="528" max="528" width="15.7109375" style="9" customWidth="1"/>
    <col min="529" max="529" width="13.7109375" style="9" customWidth="1"/>
    <col min="530" max="530" width="15.7109375" style="9" customWidth="1"/>
    <col min="531" max="531" width="16.28515625" style="9" customWidth="1"/>
    <col min="532" max="768" width="9.140625" style="9"/>
    <col min="769" max="769" width="4.85546875" style="9" customWidth="1"/>
    <col min="770" max="770" width="32.7109375" style="9" customWidth="1"/>
    <col min="771" max="771" width="9.140625" style="9"/>
    <col min="772" max="772" width="10" style="9" customWidth="1"/>
    <col min="773" max="775" width="9.140625" style="9"/>
    <col min="776" max="776" width="13.7109375" style="9" customWidth="1"/>
    <col min="777" max="777" width="15.7109375" style="9" customWidth="1"/>
    <col min="778" max="780" width="9.140625" style="9"/>
    <col min="781" max="781" width="13.7109375" style="9" customWidth="1"/>
    <col min="782" max="782" width="15.7109375" style="9" customWidth="1"/>
    <col min="783" max="783" width="13.7109375" style="9" customWidth="1"/>
    <col min="784" max="784" width="15.7109375" style="9" customWidth="1"/>
    <col min="785" max="785" width="13.7109375" style="9" customWidth="1"/>
    <col min="786" max="786" width="15.7109375" style="9" customWidth="1"/>
    <col min="787" max="787" width="16.28515625" style="9" customWidth="1"/>
    <col min="788" max="1024" width="9.140625" style="9"/>
    <col min="1025" max="1025" width="4.85546875" style="9" customWidth="1"/>
    <col min="1026" max="1026" width="32.7109375" style="9" customWidth="1"/>
    <col min="1027" max="1027" width="9.140625" style="9"/>
    <col min="1028" max="1028" width="10" style="9" customWidth="1"/>
    <col min="1029" max="1031" width="9.140625" style="9"/>
    <col min="1032" max="1032" width="13.7109375" style="9" customWidth="1"/>
    <col min="1033" max="1033" width="15.7109375" style="9" customWidth="1"/>
    <col min="1034" max="1036" width="9.140625" style="9"/>
    <col min="1037" max="1037" width="13.7109375" style="9" customWidth="1"/>
    <col min="1038" max="1038" width="15.7109375" style="9" customWidth="1"/>
    <col min="1039" max="1039" width="13.7109375" style="9" customWidth="1"/>
    <col min="1040" max="1040" width="15.7109375" style="9" customWidth="1"/>
    <col min="1041" max="1041" width="13.7109375" style="9" customWidth="1"/>
    <col min="1042" max="1042" width="15.7109375" style="9" customWidth="1"/>
    <col min="1043" max="1043" width="16.28515625" style="9" customWidth="1"/>
    <col min="1044" max="1280" width="9.140625" style="9"/>
    <col min="1281" max="1281" width="4.85546875" style="9" customWidth="1"/>
    <col min="1282" max="1282" width="32.7109375" style="9" customWidth="1"/>
    <col min="1283" max="1283" width="9.140625" style="9"/>
    <col min="1284" max="1284" width="10" style="9" customWidth="1"/>
    <col min="1285" max="1287" width="9.140625" style="9"/>
    <col min="1288" max="1288" width="13.7109375" style="9" customWidth="1"/>
    <col min="1289" max="1289" width="15.7109375" style="9" customWidth="1"/>
    <col min="1290" max="1292" width="9.140625" style="9"/>
    <col min="1293" max="1293" width="13.7109375" style="9" customWidth="1"/>
    <col min="1294" max="1294" width="15.7109375" style="9" customWidth="1"/>
    <col min="1295" max="1295" width="13.7109375" style="9" customWidth="1"/>
    <col min="1296" max="1296" width="15.7109375" style="9" customWidth="1"/>
    <col min="1297" max="1297" width="13.7109375" style="9" customWidth="1"/>
    <col min="1298" max="1298" width="15.7109375" style="9" customWidth="1"/>
    <col min="1299" max="1299" width="16.28515625" style="9" customWidth="1"/>
    <col min="1300" max="1536" width="9.140625" style="9"/>
    <col min="1537" max="1537" width="4.85546875" style="9" customWidth="1"/>
    <col min="1538" max="1538" width="32.7109375" style="9" customWidth="1"/>
    <col min="1539" max="1539" width="9.140625" style="9"/>
    <col min="1540" max="1540" width="10" style="9" customWidth="1"/>
    <col min="1541" max="1543" width="9.140625" style="9"/>
    <col min="1544" max="1544" width="13.7109375" style="9" customWidth="1"/>
    <col min="1545" max="1545" width="15.7109375" style="9" customWidth="1"/>
    <col min="1546" max="1548" width="9.140625" style="9"/>
    <col min="1549" max="1549" width="13.7109375" style="9" customWidth="1"/>
    <col min="1550" max="1550" width="15.7109375" style="9" customWidth="1"/>
    <col min="1551" max="1551" width="13.7109375" style="9" customWidth="1"/>
    <col min="1552" max="1552" width="15.7109375" style="9" customWidth="1"/>
    <col min="1553" max="1553" width="13.7109375" style="9" customWidth="1"/>
    <col min="1554" max="1554" width="15.7109375" style="9" customWidth="1"/>
    <col min="1555" max="1555" width="16.28515625" style="9" customWidth="1"/>
    <col min="1556" max="1792" width="9.140625" style="9"/>
    <col min="1793" max="1793" width="4.85546875" style="9" customWidth="1"/>
    <col min="1794" max="1794" width="32.7109375" style="9" customWidth="1"/>
    <col min="1795" max="1795" width="9.140625" style="9"/>
    <col min="1796" max="1796" width="10" style="9" customWidth="1"/>
    <col min="1797" max="1799" width="9.140625" style="9"/>
    <col min="1800" max="1800" width="13.7109375" style="9" customWidth="1"/>
    <col min="1801" max="1801" width="15.7109375" style="9" customWidth="1"/>
    <col min="1802" max="1804" width="9.140625" style="9"/>
    <col min="1805" max="1805" width="13.7109375" style="9" customWidth="1"/>
    <col min="1806" max="1806" width="15.7109375" style="9" customWidth="1"/>
    <col min="1807" max="1807" width="13.7109375" style="9" customWidth="1"/>
    <col min="1808" max="1808" width="15.7109375" style="9" customWidth="1"/>
    <col min="1809" max="1809" width="13.7109375" style="9" customWidth="1"/>
    <col min="1810" max="1810" width="15.7109375" style="9" customWidth="1"/>
    <col min="1811" max="1811" width="16.28515625" style="9" customWidth="1"/>
    <col min="1812" max="2048" width="9.140625" style="9"/>
    <col min="2049" max="2049" width="4.85546875" style="9" customWidth="1"/>
    <col min="2050" max="2050" width="32.7109375" style="9" customWidth="1"/>
    <col min="2051" max="2051" width="9.140625" style="9"/>
    <col min="2052" max="2052" width="10" style="9" customWidth="1"/>
    <col min="2053" max="2055" width="9.140625" style="9"/>
    <col min="2056" max="2056" width="13.7109375" style="9" customWidth="1"/>
    <col min="2057" max="2057" width="15.7109375" style="9" customWidth="1"/>
    <col min="2058" max="2060" width="9.140625" style="9"/>
    <col min="2061" max="2061" width="13.7109375" style="9" customWidth="1"/>
    <col min="2062" max="2062" width="15.7109375" style="9" customWidth="1"/>
    <col min="2063" max="2063" width="13.7109375" style="9" customWidth="1"/>
    <col min="2064" max="2064" width="15.7109375" style="9" customWidth="1"/>
    <col min="2065" max="2065" width="13.7109375" style="9" customWidth="1"/>
    <col min="2066" max="2066" width="15.7109375" style="9" customWidth="1"/>
    <col min="2067" max="2067" width="16.28515625" style="9" customWidth="1"/>
    <col min="2068" max="2304" width="9.140625" style="9"/>
    <col min="2305" max="2305" width="4.85546875" style="9" customWidth="1"/>
    <col min="2306" max="2306" width="32.7109375" style="9" customWidth="1"/>
    <col min="2307" max="2307" width="9.140625" style="9"/>
    <col min="2308" max="2308" width="10" style="9" customWidth="1"/>
    <col min="2309" max="2311" width="9.140625" style="9"/>
    <col min="2312" max="2312" width="13.7109375" style="9" customWidth="1"/>
    <col min="2313" max="2313" width="15.7109375" style="9" customWidth="1"/>
    <col min="2314" max="2316" width="9.140625" style="9"/>
    <col min="2317" max="2317" width="13.7109375" style="9" customWidth="1"/>
    <col min="2318" max="2318" width="15.7109375" style="9" customWidth="1"/>
    <col min="2319" max="2319" width="13.7109375" style="9" customWidth="1"/>
    <col min="2320" max="2320" width="15.7109375" style="9" customWidth="1"/>
    <col min="2321" max="2321" width="13.7109375" style="9" customWidth="1"/>
    <col min="2322" max="2322" width="15.7109375" style="9" customWidth="1"/>
    <col min="2323" max="2323" width="16.28515625" style="9" customWidth="1"/>
    <col min="2324" max="2560" width="9.140625" style="9"/>
    <col min="2561" max="2561" width="4.85546875" style="9" customWidth="1"/>
    <col min="2562" max="2562" width="32.7109375" style="9" customWidth="1"/>
    <col min="2563" max="2563" width="9.140625" style="9"/>
    <col min="2564" max="2564" width="10" style="9" customWidth="1"/>
    <col min="2565" max="2567" width="9.140625" style="9"/>
    <col min="2568" max="2568" width="13.7109375" style="9" customWidth="1"/>
    <col min="2569" max="2569" width="15.7109375" style="9" customWidth="1"/>
    <col min="2570" max="2572" width="9.140625" style="9"/>
    <col min="2573" max="2573" width="13.7109375" style="9" customWidth="1"/>
    <col min="2574" max="2574" width="15.7109375" style="9" customWidth="1"/>
    <col min="2575" max="2575" width="13.7109375" style="9" customWidth="1"/>
    <col min="2576" max="2576" width="15.7109375" style="9" customWidth="1"/>
    <col min="2577" max="2577" width="13.7109375" style="9" customWidth="1"/>
    <col min="2578" max="2578" width="15.7109375" style="9" customWidth="1"/>
    <col min="2579" max="2579" width="16.28515625" style="9" customWidth="1"/>
    <col min="2580" max="2816" width="9.140625" style="9"/>
    <col min="2817" max="2817" width="4.85546875" style="9" customWidth="1"/>
    <col min="2818" max="2818" width="32.7109375" style="9" customWidth="1"/>
    <col min="2819" max="2819" width="9.140625" style="9"/>
    <col min="2820" max="2820" width="10" style="9" customWidth="1"/>
    <col min="2821" max="2823" width="9.140625" style="9"/>
    <col min="2824" max="2824" width="13.7109375" style="9" customWidth="1"/>
    <col min="2825" max="2825" width="15.7109375" style="9" customWidth="1"/>
    <col min="2826" max="2828" width="9.140625" style="9"/>
    <col min="2829" max="2829" width="13.7109375" style="9" customWidth="1"/>
    <col min="2830" max="2830" width="15.7109375" style="9" customWidth="1"/>
    <col min="2831" max="2831" width="13.7109375" style="9" customWidth="1"/>
    <col min="2832" max="2832" width="15.7109375" style="9" customWidth="1"/>
    <col min="2833" max="2833" width="13.7109375" style="9" customWidth="1"/>
    <col min="2834" max="2834" width="15.7109375" style="9" customWidth="1"/>
    <col min="2835" max="2835" width="16.28515625" style="9" customWidth="1"/>
    <col min="2836" max="3072" width="9.140625" style="9"/>
    <col min="3073" max="3073" width="4.85546875" style="9" customWidth="1"/>
    <col min="3074" max="3074" width="32.7109375" style="9" customWidth="1"/>
    <col min="3075" max="3075" width="9.140625" style="9"/>
    <col min="3076" max="3076" width="10" style="9" customWidth="1"/>
    <col min="3077" max="3079" width="9.140625" style="9"/>
    <col min="3080" max="3080" width="13.7109375" style="9" customWidth="1"/>
    <col min="3081" max="3081" width="15.7109375" style="9" customWidth="1"/>
    <col min="3082" max="3084" width="9.140625" style="9"/>
    <col min="3085" max="3085" width="13.7109375" style="9" customWidth="1"/>
    <col min="3086" max="3086" width="15.7109375" style="9" customWidth="1"/>
    <col min="3087" max="3087" width="13.7109375" style="9" customWidth="1"/>
    <col min="3088" max="3088" width="15.7109375" style="9" customWidth="1"/>
    <col min="3089" max="3089" width="13.7109375" style="9" customWidth="1"/>
    <col min="3090" max="3090" width="15.7109375" style="9" customWidth="1"/>
    <col min="3091" max="3091" width="16.28515625" style="9" customWidth="1"/>
    <col min="3092" max="3328" width="9.140625" style="9"/>
    <col min="3329" max="3329" width="4.85546875" style="9" customWidth="1"/>
    <col min="3330" max="3330" width="32.7109375" style="9" customWidth="1"/>
    <col min="3331" max="3331" width="9.140625" style="9"/>
    <col min="3332" max="3332" width="10" style="9" customWidth="1"/>
    <col min="3333" max="3335" width="9.140625" style="9"/>
    <col min="3336" max="3336" width="13.7109375" style="9" customWidth="1"/>
    <col min="3337" max="3337" width="15.7109375" style="9" customWidth="1"/>
    <col min="3338" max="3340" width="9.140625" style="9"/>
    <col min="3341" max="3341" width="13.7109375" style="9" customWidth="1"/>
    <col min="3342" max="3342" width="15.7109375" style="9" customWidth="1"/>
    <col min="3343" max="3343" width="13.7109375" style="9" customWidth="1"/>
    <col min="3344" max="3344" width="15.7109375" style="9" customWidth="1"/>
    <col min="3345" max="3345" width="13.7109375" style="9" customWidth="1"/>
    <col min="3346" max="3346" width="15.7109375" style="9" customWidth="1"/>
    <col min="3347" max="3347" width="16.28515625" style="9" customWidth="1"/>
    <col min="3348" max="3584" width="9.140625" style="9"/>
    <col min="3585" max="3585" width="4.85546875" style="9" customWidth="1"/>
    <col min="3586" max="3586" width="32.7109375" style="9" customWidth="1"/>
    <col min="3587" max="3587" width="9.140625" style="9"/>
    <col min="3588" max="3588" width="10" style="9" customWidth="1"/>
    <col min="3589" max="3591" width="9.140625" style="9"/>
    <col min="3592" max="3592" width="13.7109375" style="9" customWidth="1"/>
    <col min="3593" max="3593" width="15.7109375" style="9" customWidth="1"/>
    <col min="3594" max="3596" width="9.140625" style="9"/>
    <col min="3597" max="3597" width="13.7109375" style="9" customWidth="1"/>
    <col min="3598" max="3598" width="15.7109375" style="9" customWidth="1"/>
    <col min="3599" max="3599" width="13.7109375" style="9" customWidth="1"/>
    <col min="3600" max="3600" width="15.7109375" style="9" customWidth="1"/>
    <col min="3601" max="3601" width="13.7109375" style="9" customWidth="1"/>
    <col min="3602" max="3602" width="15.7109375" style="9" customWidth="1"/>
    <col min="3603" max="3603" width="16.28515625" style="9" customWidth="1"/>
    <col min="3604" max="3840" width="9.140625" style="9"/>
    <col min="3841" max="3841" width="4.85546875" style="9" customWidth="1"/>
    <col min="3842" max="3842" width="32.7109375" style="9" customWidth="1"/>
    <col min="3843" max="3843" width="9.140625" style="9"/>
    <col min="3844" max="3844" width="10" style="9" customWidth="1"/>
    <col min="3845" max="3847" width="9.140625" style="9"/>
    <col min="3848" max="3848" width="13.7109375" style="9" customWidth="1"/>
    <col min="3849" max="3849" width="15.7109375" style="9" customWidth="1"/>
    <col min="3850" max="3852" width="9.140625" style="9"/>
    <col min="3853" max="3853" width="13.7109375" style="9" customWidth="1"/>
    <col min="3854" max="3854" width="15.7109375" style="9" customWidth="1"/>
    <col min="3855" max="3855" width="13.7109375" style="9" customWidth="1"/>
    <col min="3856" max="3856" width="15.7109375" style="9" customWidth="1"/>
    <col min="3857" max="3857" width="13.7109375" style="9" customWidth="1"/>
    <col min="3858" max="3858" width="15.7109375" style="9" customWidth="1"/>
    <col min="3859" max="3859" width="16.28515625" style="9" customWidth="1"/>
    <col min="3860" max="4096" width="9.140625" style="9"/>
    <col min="4097" max="4097" width="4.85546875" style="9" customWidth="1"/>
    <col min="4098" max="4098" width="32.7109375" style="9" customWidth="1"/>
    <col min="4099" max="4099" width="9.140625" style="9"/>
    <col min="4100" max="4100" width="10" style="9" customWidth="1"/>
    <col min="4101" max="4103" width="9.140625" style="9"/>
    <col min="4104" max="4104" width="13.7109375" style="9" customWidth="1"/>
    <col min="4105" max="4105" width="15.7109375" style="9" customWidth="1"/>
    <col min="4106" max="4108" width="9.140625" style="9"/>
    <col min="4109" max="4109" width="13.7109375" style="9" customWidth="1"/>
    <col min="4110" max="4110" width="15.7109375" style="9" customWidth="1"/>
    <col min="4111" max="4111" width="13.7109375" style="9" customWidth="1"/>
    <col min="4112" max="4112" width="15.7109375" style="9" customWidth="1"/>
    <col min="4113" max="4113" width="13.7109375" style="9" customWidth="1"/>
    <col min="4114" max="4114" width="15.7109375" style="9" customWidth="1"/>
    <col min="4115" max="4115" width="16.28515625" style="9" customWidth="1"/>
    <col min="4116" max="4352" width="9.140625" style="9"/>
    <col min="4353" max="4353" width="4.85546875" style="9" customWidth="1"/>
    <col min="4354" max="4354" width="32.7109375" style="9" customWidth="1"/>
    <col min="4355" max="4355" width="9.140625" style="9"/>
    <col min="4356" max="4356" width="10" style="9" customWidth="1"/>
    <col min="4357" max="4359" width="9.140625" style="9"/>
    <col min="4360" max="4360" width="13.7109375" style="9" customWidth="1"/>
    <col min="4361" max="4361" width="15.7109375" style="9" customWidth="1"/>
    <col min="4362" max="4364" width="9.140625" style="9"/>
    <col min="4365" max="4365" width="13.7109375" style="9" customWidth="1"/>
    <col min="4366" max="4366" width="15.7109375" style="9" customWidth="1"/>
    <col min="4367" max="4367" width="13.7109375" style="9" customWidth="1"/>
    <col min="4368" max="4368" width="15.7109375" style="9" customWidth="1"/>
    <col min="4369" max="4369" width="13.7109375" style="9" customWidth="1"/>
    <col min="4370" max="4370" width="15.7109375" style="9" customWidth="1"/>
    <col min="4371" max="4371" width="16.28515625" style="9" customWidth="1"/>
    <col min="4372" max="4608" width="9.140625" style="9"/>
    <col min="4609" max="4609" width="4.85546875" style="9" customWidth="1"/>
    <col min="4610" max="4610" width="32.7109375" style="9" customWidth="1"/>
    <col min="4611" max="4611" width="9.140625" style="9"/>
    <col min="4612" max="4612" width="10" style="9" customWidth="1"/>
    <col min="4613" max="4615" width="9.140625" style="9"/>
    <col min="4616" max="4616" width="13.7109375" style="9" customWidth="1"/>
    <col min="4617" max="4617" width="15.7109375" style="9" customWidth="1"/>
    <col min="4618" max="4620" width="9.140625" style="9"/>
    <col min="4621" max="4621" width="13.7109375" style="9" customWidth="1"/>
    <col min="4622" max="4622" width="15.7109375" style="9" customWidth="1"/>
    <col min="4623" max="4623" width="13.7109375" style="9" customWidth="1"/>
    <col min="4624" max="4624" width="15.7109375" style="9" customWidth="1"/>
    <col min="4625" max="4625" width="13.7109375" style="9" customWidth="1"/>
    <col min="4626" max="4626" width="15.7109375" style="9" customWidth="1"/>
    <col min="4627" max="4627" width="16.28515625" style="9" customWidth="1"/>
    <col min="4628" max="4864" width="9.140625" style="9"/>
    <col min="4865" max="4865" width="4.85546875" style="9" customWidth="1"/>
    <col min="4866" max="4866" width="32.7109375" style="9" customWidth="1"/>
    <col min="4867" max="4867" width="9.140625" style="9"/>
    <col min="4868" max="4868" width="10" style="9" customWidth="1"/>
    <col min="4869" max="4871" width="9.140625" style="9"/>
    <col min="4872" max="4872" width="13.7109375" style="9" customWidth="1"/>
    <col min="4873" max="4873" width="15.7109375" style="9" customWidth="1"/>
    <col min="4874" max="4876" width="9.140625" style="9"/>
    <col min="4877" max="4877" width="13.7109375" style="9" customWidth="1"/>
    <col min="4878" max="4878" width="15.7109375" style="9" customWidth="1"/>
    <col min="4879" max="4879" width="13.7109375" style="9" customWidth="1"/>
    <col min="4880" max="4880" width="15.7109375" style="9" customWidth="1"/>
    <col min="4881" max="4881" width="13.7109375" style="9" customWidth="1"/>
    <col min="4882" max="4882" width="15.7109375" style="9" customWidth="1"/>
    <col min="4883" max="4883" width="16.28515625" style="9" customWidth="1"/>
    <col min="4884" max="5120" width="9.140625" style="9"/>
    <col min="5121" max="5121" width="4.85546875" style="9" customWidth="1"/>
    <col min="5122" max="5122" width="32.7109375" style="9" customWidth="1"/>
    <col min="5123" max="5123" width="9.140625" style="9"/>
    <col min="5124" max="5124" width="10" style="9" customWidth="1"/>
    <col min="5125" max="5127" width="9.140625" style="9"/>
    <col min="5128" max="5128" width="13.7109375" style="9" customWidth="1"/>
    <col min="5129" max="5129" width="15.7109375" style="9" customWidth="1"/>
    <col min="5130" max="5132" width="9.140625" style="9"/>
    <col min="5133" max="5133" width="13.7109375" style="9" customWidth="1"/>
    <col min="5134" max="5134" width="15.7109375" style="9" customWidth="1"/>
    <col min="5135" max="5135" width="13.7109375" style="9" customWidth="1"/>
    <col min="5136" max="5136" width="15.7109375" style="9" customWidth="1"/>
    <col min="5137" max="5137" width="13.7109375" style="9" customWidth="1"/>
    <col min="5138" max="5138" width="15.7109375" style="9" customWidth="1"/>
    <col min="5139" max="5139" width="16.28515625" style="9" customWidth="1"/>
    <col min="5140" max="5376" width="9.140625" style="9"/>
    <col min="5377" max="5377" width="4.85546875" style="9" customWidth="1"/>
    <col min="5378" max="5378" width="32.7109375" style="9" customWidth="1"/>
    <col min="5379" max="5379" width="9.140625" style="9"/>
    <col min="5380" max="5380" width="10" style="9" customWidth="1"/>
    <col min="5381" max="5383" width="9.140625" style="9"/>
    <col min="5384" max="5384" width="13.7109375" style="9" customWidth="1"/>
    <col min="5385" max="5385" width="15.7109375" style="9" customWidth="1"/>
    <col min="5386" max="5388" width="9.140625" style="9"/>
    <col min="5389" max="5389" width="13.7109375" style="9" customWidth="1"/>
    <col min="5390" max="5390" width="15.7109375" style="9" customWidth="1"/>
    <col min="5391" max="5391" width="13.7109375" style="9" customWidth="1"/>
    <col min="5392" max="5392" width="15.7109375" style="9" customWidth="1"/>
    <col min="5393" max="5393" width="13.7109375" style="9" customWidth="1"/>
    <col min="5394" max="5394" width="15.7109375" style="9" customWidth="1"/>
    <col min="5395" max="5395" width="16.28515625" style="9" customWidth="1"/>
    <col min="5396" max="5632" width="9.140625" style="9"/>
    <col min="5633" max="5633" width="4.85546875" style="9" customWidth="1"/>
    <col min="5634" max="5634" width="32.7109375" style="9" customWidth="1"/>
    <col min="5635" max="5635" width="9.140625" style="9"/>
    <col min="5636" max="5636" width="10" style="9" customWidth="1"/>
    <col min="5637" max="5639" width="9.140625" style="9"/>
    <col min="5640" max="5640" width="13.7109375" style="9" customWidth="1"/>
    <col min="5641" max="5641" width="15.7109375" style="9" customWidth="1"/>
    <col min="5642" max="5644" width="9.140625" style="9"/>
    <col min="5645" max="5645" width="13.7109375" style="9" customWidth="1"/>
    <col min="5646" max="5646" width="15.7109375" style="9" customWidth="1"/>
    <col min="5647" max="5647" width="13.7109375" style="9" customWidth="1"/>
    <col min="5648" max="5648" width="15.7109375" style="9" customWidth="1"/>
    <col min="5649" max="5649" width="13.7109375" style="9" customWidth="1"/>
    <col min="5650" max="5650" width="15.7109375" style="9" customWidth="1"/>
    <col min="5651" max="5651" width="16.28515625" style="9" customWidth="1"/>
    <col min="5652" max="5888" width="9.140625" style="9"/>
    <col min="5889" max="5889" width="4.85546875" style="9" customWidth="1"/>
    <col min="5890" max="5890" width="32.7109375" style="9" customWidth="1"/>
    <col min="5891" max="5891" width="9.140625" style="9"/>
    <col min="5892" max="5892" width="10" style="9" customWidth="1"/>
    <col min="5893" max="5895" width="9.140625" style="9"/>
    <col min="5896" max="5896" width="13.7109375" style="9" customWidth="1"/>
    <col min="5897" max="5897" width="15.7109375" style="9" customWidth="1"/>
    <col min="5898" max="5900" width="9.140625" style="9"/>
    <col min="5901" max="5901" width="13.7109375" style="9" customWidth="1"/>
    <col min="5902" max="5902" width="15.7109375" style="9" customWidth="1"/>
    <col min="5903" max="5903" width="13.7109375" style="9" customWidth="1"/>
    <col min="5904" max="5904" width="15.7109375" style="9" customWidth="1"/>
    <col min="5905" max="5905" width="13.7109375" style="9" customWidth="1"/>
    <col min="5906" max="5906" width="15.7109375" style="9" customWidth="1"/>
    <col min="5907" max="5907" width="16.28515625" style="9" customWidth="1"/>
    <col min="5908" max="6144" width="9.140625" style="9"/>
    <col min="6145" max="6145" width="4.85546875" style="9" customWidth="1"/>
    <col min="6146" max="6146" width="32.7109375" style="9" customWidth="1"/>
    <col min="6147" max="6147" width="9.140625" style="9"/>
    <col min="6148" max="6148" width="10" style="9" customWidth="1"/>
    <col min="6149" max="6151" width="9.140625" style="9"/>
    <col min="6152" max="6152" width="13.7109375" style="9" customWidth="1"/>
    <col min="6153" max="6153" width="15.7109375" style="9" customWidth="1"/>
    <col min="6154" max="6156" width="9.140625" style="9"/>
    <col min="6157" max="6157" width="13.7109375" style="9" customWidth="1"/>
    <col min="6158" max="6158" width="15.7109375" style="9" customWidth="1"/>
    <col min="6159" max="6159" width="13.7109375" style="9" customWidth="1"/>
    <col min="6160" max="6160" width="15.7109375" style="9" customWidth="1"/>
    <col min="6161" max="6161" width="13.7109375" style="9" customWidth="1"/>
    <col min="6162" max="6162" width="15.7109375" style="9" customWidth="1"/>
    <col min="6163" max="6163" width="16.28515625" style="9" customWidth="1"/>
    <col min="6164" max="6400" width="9.140625" style="9"/>
    <col min="6401" max="6401" width="4.85546875" style="9" customWidth="1"/>
    <col min="6402" max="6402" width="32.7109375" style="9" customWidth="1"/>
    <col min="6403" max="6403" width="9.140625" style="9"/>
    <col min="6404" max="6404" width="10" style="9" customWidth="1"/>
    <col min="6405" max="6407" width="9.140625" style="9"/>
    <col min="6408" max="6408" width="13.7109375" style="9" customWidth="1"/>
    <col min="6409" max="6409" width="15.7109375" style="9" customWidth="1"/>
    <col min="6410" max="6412" width="9.140625" style="9"/>
    <col min="6413" max="6413" width="13.7109375" style="9" customWidth="1"/>
    <col min="6414" max="6414" width="15.7109375" style="9" customWidth="1"/>
    <col min="6415" max="6415" width="13.7109375" style="9" customWidth="1"/>
    <col min="6416" max="6416" width="15.7109375" style="9" customWidth="1"/>
    <col min="6417" max="6417" width="13.7109375" style="9" customWidth="1"/>
    <col min="6418" max="6418" width="15.7109375" style="9" customWidth="1"/>
    <col min="6419" max="6419" width="16.28515625" style="9" customWidth="1"/>
    <col min="6420" max="6656" width="9.140625" style="9"/>
    <col min="6657" max="6657" width="4.85546875" style="9" customWidth="1"/>
    <col min="6658" max="6658" width="32.7109375" style="9" customWidth="1"/>
    <col min="6659" max="6659" width="9.140625" style="9"/>
    <col min="6660" max="6660" width="10" style="9" customWidth="1"/>
    <col min="6661" max="6663" width="9.140625" style="9"/>
    <col min="6664" max="6664" width="13.7109375" style="9" customWidth="1"/>
    <col min="6665" max="6665" width="15.7109375" style="9" customWidth="1"/>
    <col min="6666" max="6668" width="9.140625" style="9"/>
    <col min="6669" max="6669" width="13.7109375" style="9" customWidth="1"/>
    <col min="6670" max="6670" width="15.7109375" style="9" customWidth="1"/>
    <col min="6671" max="6671" width="13.7109375" style="9" customWidth="1"/>
    <col min="6672" max="6672" width="15.7109375" style="9" customWidth="1"/>
    <col min="6673" max="6673" width="13.7109375" style="9" customWidth="1"/>
    <col min="6674" max="6674" width="15.7109375" style="9" customWidth="1"/>
    <col min="6675" max="6675" width="16.28515625" style="9" customWidth="1"/>
    <col min="6676" max="6912" width="9.140625" style="9"/>
    <col min="6913" max="6913" width="4.85546875" style="9" customWidth="1"/>
    <col min="6914" max="6914" width="32.7109375" style="9" customWidth="1"/>
    <col min="6915" max="6915" width="9.140625" style="9"/>
    <col min="6916" max="6916" width="10" style="9" customWidth="1"/>
    <col min="6917" max="6919" width="9.140625" style="9"/>
    <col min="6920" max="6920" width="13.7109375" style="9" customWidth="1"/>
    <col min="6921" max="6921" width="15.7109375" style="9" customWidth="1"/>
    <col min="6922" max="6924" width="9.140625" style="9"/>
    <col min="6925" max="6925" width="13.7109375" style="9" customWidth="1"/>
    <col min="6926" max="6926" width="15.7109375" style="9" customWidth="1"/>
    <col min="6927" max="6927" width="13.7109375" style="9" customWidth="1"/>
    <col min="6928" max="6928" width="15.7109375" style="9" customWidth="1"/>
    <col min="6929" max="6929" width="13.7109375" style="9" customWidth="1"/>
    <col min="6930" max="6930" width="15.7109375" style="9" customWidth="1"/>
    <col min="6931" max="6931" width="16.28515625" style="9" customWidth="1"/>
    <col min="6932" max="7168" width="9.140625" style="9"/>
    <col min="7169" max="7169" width="4.85546875" style="9" customWidth="1"/>
    <col min="7170" max="7170" width="32.7109375" style="9" customWidth="1"/>
    <col min="7171" max="7171" width="9.140625" style="9"/>
    <col min="7172" max="7172" width="10" style="9" customWidth="1"/>
    <col min="7173" max="7175" width="9.140625" style="9"/>
    <col min="7176" max="7176" width="13.7109375" style="9" customWidth="1"/>
    <col min="7177" max="7177" width="15.7109375" style="9" customWidth="1"/>
    <col min="7178" max="7180" width="9.140625" style="9"/>
    <col min="7181" max="7181" width="13.7109375" style="9" customWidth="1"/>
    <col min="7182" max="7182" width="15.7109375" style="9" customWidth="1"/>
    <col min="7183" max="7183" width="13.7109375" style="9" customWidth="1"/>
    <col min="7184" max="7184" width="15.7109375" style="9" customWidth="1"/>
    <col min="7185" max="7185" width="13.7109375" style="9" customWidth="1"/>
    <col min="7186" max="7186" width="15.7109375" style="9" customWidth="1"/>
    <col min="7187" max="7187" width="16.28515625" style="9" customWidth="1"/>
    <col min="7188" max="7424" width="9.140625" style="9"/>
    <col min="7425" max="7425" width="4.85546875" style="9" customWidth="1"/>
    <col min="7426" max="7426" width="32.7109375" style="9" customWidth="1"/>
    <col min="7427" max="7427" width="9.140625" style="9"/>
    <col min="7428" max="7428" width="10" style="9" customWidth="1"/>
    <col min="7429" max="7431" width="9.140625" style="9"/>
    <col min="7432" max="7432" width="13.7109375" style="9" customWidth="1"/>
    <col min="7433" max="7433" width="15.7109375" style="9" customWidth="1"/>
    <col min="7434" max="7436" width="9.140625" style="9"/>
    <col min="7437" max="7437" width="13.7109375" style="9" customWidth="1"/>
    <col min="7438" max="7438" width="15.7109375" style="9" customWidth="1"/>
    <col min="7439" max="7439" width="13.7109375" style="9" customWidth="1"/>
    <col min="7440" max="7440" width="15.7109375" style="9" customWidth="1"/>
    <col min="7441" max="7441" width="13.7109375" style="9" customWidth="1"/>
    <col min="7442" max="7442" width="15.7109375" style="9" customWidth="1"/>
    <col min="7443" max="7443" width="16.28515625" style="9" customWidth="1"/>
    <col min="7444" max="7680" width="9.140625" style="9"/>
    <col min="7681" max="7681" width="4.85546875" style="9" customWidth="1"/>
    <col min="7682" max="7682" width="32.7109375" style="9" customWidth="1"/>
    <col min="7683" max="7683" width="9.140625" style="9"/>
    <col min="7684" max="7684" width="10" style="9" customWidth="1"/>
    <col min="7685" max="7687" width="9.140625" style="9"/>
    <col min="7688" max="7688" width="13.7109375" style="9" customWidth="1"/>
    <col min="7689" max="7689" width="15.7109375" style="9" customWidth="1"/>
    <col min="7690" max="7692" width="9.140625" style="9"/>
    <col min="7693" max="7693" width="13.7109375" style="9" customWidth="1"/>
    <col min="7694" max="7694" width="15.7109375" style="9" customWidth="1"/>
    <col min="7695" max="7695" width="13.7109375" style="9" customWidth="1"/>
    <col min="7696" max="7696" width="15.7109375" style="9" customWidth="1"/>
    <col min="7697" max="7697" width="13.7109375" style="9" customWidth="1"/>
    <col min="7698" max="7698" width="15.7109375" style="9" customWidth="1"/>
    <col min="7699" max="7699" width="16.28515625" style="9" customWidth="1"/>
    <col min="7700" max="7936" width="9.140625" style="9"/>
    <col min="7937" max="7937" width="4.85546875" style="9" customWidth="1"/>
    <col min="7938" max="7938" width="32.7109375" style="9" customWidth="1"/>
    <col min="7939" max="7939" width="9.140625" style="9"/>
    <col min="7940" max="7940" width="10" style="9" customWidth="1"/>
    <col min="7941" max="7943" width="9.140625" style="9"/>
    <col min="7944" max="7944" width="13.7109375" style="9" customWidth="1"/>
    <col min="7945" max="7945" width="15.7109375" style="9" customWidth="1"/>
    <col min="7946" max="7948" width="9.140625" style="9"/>
    <col min="7949" max="7949" width="13.7109375" style="9" customWidth="1"/>
    <col min="7950" max="7950" width="15.7109375" style="9" customWidth="1"/>
    <col min="7951" max="7951" width="13.7109375" style="9" customWidth="1"/>
    <col min="7952" max="7952" width="15.7109375" style="9" customWidth="1"/>
    <col min="7953" max="7953" width="13.7109375" style="9" customWidth="1"/>
    <col min="7954" max="7954" width="15.7109375" style="9" customWidth="1"/>
    <col min="7955" max="7955" width="16.28515625" style="9" customWidth="1"/>
    <col min="7956" max="8192" width="9.140625" style="9"/>
    <col min="8193" max="8193" width="4.85546875" style="9" customWidth="1"/>
    <col min="8194" max="8194" width="32.7109375" style="9" customWidth="1"/>
    <col min="8195" max="8195" width="9.140625" style="9"/>
    <col min="8196" max="8196" width="10" style="9" customWidth="1"/>
    <col min="8197" max="8199" width="9.140625" style="9"/>
    <col min="8200" max="8200" width="13.7109375" style="9" customWidth="1"/>
    <col min="8201" max="8201" width="15.7109375" style="9" customWidth="1"/>
    <col min="8202" max="8204" width="9.140625" style="9"/>
    <col min="8205" max="8205" width="13.7109375" style="9" customWidth="1"/>
    <col min="8206" max="8206" width="15.7109375" style="9" customWidth="1"/>
    <col min="8207" max="8207" width="13.7109375" style="9" customWidth="1"/>
    <col min="8208" max="8208" width="15.7109375" style="9" customWidth="1"/>
    <col min="8209" max="8209" width="13.7109375" style="9" customWidth="1"/>
    <col min="8210" max="8210" width="15.7109375" style="9" customWidth="1"/>
    <col min="8211" max="8211" width="16.28515625" style="9" customWidth="1"/>
    <col min="8212" max="8448" width="9.140625" style="9"/>
    <col min="8449" max="8449" width="4.85546875" style="9" customWidth="1"/>
    <col min="8450" max="8450" width="32.7109375" style="9" customWidth="1"/>
    <col min="8451" max="8451" width="9.140625" style="9"/>
    <col min="8452" max="8452" width="10" style="9" customWidth="1"/>
    <col min="8453" max="8455" width="9.140625" style="9"/>
    <col min="8456" max="8456" width="13.7109375" style="9" customWidth="1"/>
    <col min="8457" max="8457" width="15.7109375" style="9" customWidth="1"/>
    <col min="8458" max="8460" width="9.140625" style="9"/>
    <col min="8461" max="8461" width="13.7109375" style="9" customWidth="1"/>
    <col min="8462" max="8462" width="15.7109375" style="9" customWidth="1"/>
    <col min="8463" max="8463" width="13.7109375" style="9" customWidth="1"/>
    <col min="8464" max="8464" width="15.7109375" style="9" customWidth="1"/>
    <col min="8465" max="8465" width="13.7109375" style="9" customWidth="1"/>
    <col min="8466" max="8466" width="15.7109375" style="9" customWidth="1"/>
    <col min="8467" max="8467" width="16.28515625" style="9" customWidth="1"/>
    <col min="8468" max="8704" width="9.140625" style="9"/>
    <col min="8705" max="8705" width="4.85546875" style="9" customWidth="1"/>
    <col min="8706" max="8706" width="32.7109375" style="9" customWidth="1"/>
    <col min="8707" max="8707" width="9.140625" style="9"/>
    <col min="8708" max="8708" width="10" style="9" customWidth="1"/>
    <col min="8709" max="8711" width="9.140625" style="9"/>
    <col min="8712" max="8712" width="13.7109375" style="9" customWidth="1"/>
    <col min="8713" max="8713" width="15.7109375" style="9" customWidth="1"/>
    <col min="8714" max="8716" width="9.140625" style="9"/>
    <col min="8717" max="8717" width="13.7109375" style="9" customWidth="1"/>
    <col min="8718" max="8718" width="15.7109375" style="9" customWidth="1"/>
    <col min="8719" max="8719" width="13.7109375" style="9" customWidth="1"/>
    <col min="8720" max="8720" width="15.7109375" style="9" customWidth="1"/>
    <col min="8721" max="8721" width="13.7109375" style="9" customWidth="1"/>
    <col min="8722" max="8722" width="15.7109375" style="9" customWidth="1"/>
    <col min="8723" max="8723" width="16.28515625" style="9" customWidth="1"/>
    <col min="8724" max="8960" width="9.140625" style="9"/>
    <col min="8961" max="8961" width="4.85546875" style="9" customWidth="1"/>
    <col min="8962" max="8962" width="32.7109375" style="9" customWidth="1"/>
    <col min="8963" max="8963" width="9.140625" style="9"/>
    <col min="8964" max="8964" width="10" style="9" customWidth="1"/>
    <col min="8965" max="8967" width="9.140625" style="9"/>
    <col min="8968" max="8968" width="13.7109375" style="9" customWidth="1"/>
    <col min="8969" max="8969" width="15.7109375" style="9" customWidth="1"/>
    <col min="8970" max="8972" width="9.140625" style="9"/>
    <col min="8973" max="8973" width="13.7109375" style="9" customWidth="1"/>
    <col min="8974" max="8974" width="15.7109375" style="9" customWidth="1"/>
    <col min="8975" max="8975" width="13.7109375" style="9" customWidth="1"/>
    <col min="8976" max="8976" width="15.7109375" style="9" customWidth="1"/>
    <col min="8977" max="8977" width="13.7109375" style="9" customWidth="1"/>
    <col min="8978" max="8978" width="15.7109375" style="9" customWidth="1"/>
    <col min="8979" max="8979" width="16.28515625" style="9" customWidth="1"/>
    <col min="8980" max="9216" width="9.140625" style="9"/>
    <col min="9217" max="9217" width="4.85546875" style="9" customWidth="1"/>
    <col min="9218" max="9218" width="32.7109375" style="9" customWidth="1"/>
    <col min="9219" max="9219" width="9.140625" style="9"/>
    <col min="9220" max="9220" width="10" style="9" customWidth="1"/>
    <col min="9221" max="9223" width="9.140625" style="9"/>
    <col min="9224" max="9224" width="13.7109375" style="9" customWidth="1"/>
    <col min="9225" max="9225" width="15.7109375" style="9" customWidth="1"/>
    <col min="9226" max="9228" width="9.140625" style="9"/>
    <col min="9229" max="9229" width="13.7109375" style="9" customWidth="1"/>
    <col min="9230" max="9230" width="15.7109375" style="9" customWidth="1"/>
    <col min="9231" max="9231" width="13.7109375" style="9" customWidth="1"/>
    <col min="9232" max="9232" width="15.7109375" style="9" customWidth="1"/>
    <col min="9233" max="9233" width="13.7109375" style="9" customWidth="1"/>
    <col min="9234" max="9234" width="15.7109375" style="9" customWidth="1"/>
    <col min="9235" max="9235" width="16.28515625" style="9" customWidth="1"/>
    <col min="9236" max="9472" width="9.140625" style="9"/>
    <col min="9473" max="9473" width="4.85546875" style="9" customWidth="1"/>
    <col min="9474" max="9474" width="32.7109375" style="9" customWidth="1"/>
    <col min="9475" max="9475" width="9.140625" style="9"/>
    <col min="9476" max="9476" width="10" style="9" customWidth="1"/>
    <col min="9477" max="9479" width="9.140625" style="9"/>
    <col min="9480" max="9480" width="13.7109375" style="9" customWidth="1"/>
    <col min="9481" max="9481" width="15.7109375" style="9" customWidth="1"/>
    <col min="9482" max="9484" width="9.140625" style="9"/>
    <col min="9485" max="9485" width="13.7109375" style="9" customWidth="1"/>
    <col min="9486" max="9486" width="15.7109375" style="9" customWidth="1"/>
    <col min="9487" max="9487" width="13.7109375" style="9" customWidth="1"/>
    <col min="9488" max="9488" width="15.7109375" style="9" customWidth="1"/>
    <col min="9489" max="9489" width="13.7109375" style="9" customWidth="1"/>
    <col min="9490" max="9490" width="15.7109375" style="9" customWidth="1"/>
    <col min="9491" max="9491" width="16.28515625" style="9" customWidth="1"/>
    <col min="9492" max="9728" width="9.140625" style="9"/>
    <col min="9729" max="9729" width="4.85546875" style="9" customWidth="1"/>
    <col min="9730" max="9730" width="32.7109375" style="9" customWidth="1"/>
    <col min="9731" max="9731" width="9.140625" style="9"/>
    <col min="9732" max="9732" width="10" style="9" customWidth="1"/>
    <col min="9733" max="9735" width="9.140625" style="9"/>
    <col min="9736" max="9736" width="13.7109375" style="9" customWidth="1"/>
    <col min="9737" max="9737" width="15.7109375" style="9" customWidth="1"/>
    <col min="9738" max="9740" width="9.140625" style="9"/>
    <col min="9741" max="9741" width="13.7109375" style="9" customWidth="1"/>
    <col min="9742" max="9742" width="15.7109375" style="9" customWidth="1"/>
    <col min="9743" max="9743" width="13.7109375" style="9" customWidth="1"/>
    <col min="9744" max="9744" width="15.7109375" style="9" customWidth="1"/>
    <col min="9745" max="9745" width="13.7109375" style="9" customWidth="1"/>
    <col min="9746" max="9746" width="15.7109375" style="9" customWidth="1"/>
    <col min="9747" max="9747" width="16.28515625" style="9" customWidth="1"/>
    <col min="9748" max="9984" width="9.140625" style="9"/>
    <col min="9985" max="9985" width="4.85546875" style="9" customWidth="1"/>
    <col min="9986" max="9986" width="32.7109375" style="9" customWidth="1"/>
    <col min="9987" max="9987" width="9.140625" style="9"/>
    <col min="9988" max="9988" width="10" style="9" customWidth="1"/>
    <col min="9989" max="9991" width="9.140625" style="9"/>
    <col min="9992" max="9992" width="13.7109375" style="9" customWidth="1"/>
    <col min="9993" max="9993" width="15.7109375" style="9" customWidth="1"/>
    <col min="9994" max="9996" width="9.140625" style="9"/>
    <col min="9997" max="9997" width="13.7109375" style="9" customWidth="1"/>
    <col min="9998" max="9998" width="15.7109375" style="9" customWidth="1"/>
    <col min="9999" max="9999" width="13.7109375" style="9" customWidth="1"/>
    <col min="10000" max="10000" width="15.7109375" style="9" customWidth="1"/>
    <col min="10001" max="10001" width="13.7109375" style="9" customWidth="1"/>
    <col min="10002" max="10002" width="15.7109375" style="9" customWidth="1"/>
    <col min="10003" max="10003" width="16.28515625" style="9" customWidth="1"/>
    <col min="10004" max="10240" width="9.140625" style="9"/>
    <col min="10241" max="10241" width="4.85546875" style="9" customWidth="1"/>
    <col min="10242" max="10242" width="32.7109375" style="9" customWidth="1"/>
    <col min="10243" max="10243" width="9.140625" style="9"/>
    <col min="10244" max="10244" width="10" style="9" customWidth="1"/>
    <col min="10245" max="10247" width="9.140625" style="9"/>
    <col min="10248" max="10248" width="13.7109375" style="9" customWidth="1"/>
    <col min="10249" max="10249" width="15.7109375" style="9" customWidth="1"/>
    <col min="10250" max="10252" width="9.140625" style="9"/>
    <col min="10253" max="10253" width="13.7109375" style="9" customWidth="1"/>
    <col min="10254" max="10254" width="15.7109375" style="9" customWidth="1"/>
    <col min="10255" max="10255" width="13.7109375" style="9" customWidth="1"/>
    <col min="10256" max="10256" width="15.7109375" style="9" customWidth="1"/>
    <col min="10257" max="10257" width="13.7109375" style="9" customWidth="1"/>
    <col min="10258" max="10258" width="15.7109375" style="9" customWidth="1"/>
    <col min="10259" max="10259" width="16.28515625" style="9" customWidth="1"/>
    <col min="10260" max="10496" width="9.140625" style="9"/>
    <col min="10497" max="10497" width="4.85546875" style="9" customWidth="1"/>
    <col min="10498" max="10498" width="32.7109375" style="9" customWidth="1"/>
    <col min="10499" max="10499" width="9.140625" style="9"/>
    <col min="10500" max="10500" width="10" style="9" customWidth="1"/>
    <col min="10501" max="10503" width="9.140625" style="9"/>
    <col min="10504" max="10504" width="13.7109375" style="9" customWidth="1"/>
    <col min="10505" max="10505" width="15.7109375" style="9" customWidth="1"/>
    <col min="10506" max="10508" width="9.140625" style="9"/>
    <col min="10509" max="10509" width="13.7109375" style="9" customWidth="1"/>
    <col min="10510" max="10510" width="15.7109375" style="9" customWidth="1"/>
    <col min="10511" max="10511" width="13.7109375" style="9" customWidth="1"/>
    <col min="10512" max="10512" width="15.7109375" style="9" customWidth="1"/>
    <col min="10513" max="10513" width="13.7109375" style="9" customWidth="1"/>
    <col min="10514" max="10514" width="15.7109375" style="9" customWidth="1"/>
    <col min="10515" max="10515" width="16.28515625" style="9" customWidth="1"/>
    <col min="10516" max="10752" width="9.140625" style="9"/>
    <col min="10753" max="10753" width="4.85546875" style="9" customWidth="1"/>
    <col min="10754" max="10754" width="32.7109375" style="9" customWidth="1"/>
    <col min="10755" max="10755" width="9.140625" style="9"/>
    <col min="10756" max="10756" width="10" style="9" customWidth="1"/>
    <col min="10757" max="10759" width="9.140625" style="9"/>
    <col min="10760" max="10760" width="13.7109375" style="9" customWidth="1"/>
    <col min="10761" max="10761" width="15.7109375" style="9" customWidth="1"/>
    <col min="10762" max="10764" width="9.140625" style="9"/>
    <col min="10765" max="10765" width="13.7109375" style="9" customWidth="1"/>
    <col min="10766" max="10766" width="15.7109375" style="9" customWidth="1"/>
    <col min="10767" max="10767" width="13.7109375" style="9" customWidth="1"/>
    <col min="10768" max="10768" width="15.7109375" style="9" customWidth="1"/>
    <col min="10769" max="10769" width="13.7109375" style="9" customWidth="1"/>
    <col min="10770" max="10770" width="15.7109375" style="9" customWidth="1"/>
    <col min="10771" max="10771" width="16.28515625" style="9" customWidth="1"/>
    <col min="10772" max="11008" width="9.140625" style="9"/>
    <col min="11009" max="11009" width="4.85546875" style="9" customWidth="1"/>
    <col min="11010" max="11010" width="32.7109375" style="9" customWidth="1"/>
    <col min="11011" max="11011" width="9.140625" style="9"/>
    <col min="11012" max="11012" width="10" style="9" customWidth="1"/>
    <col min="11013" max="11015" width="9.140625" style="9"/>
    <col min="11016" max="11016" width="13.7109375" style="9" customWidth="1"/>
    <col min="11017" max="11017" width="15.7109375" style="9" customWidth="1"/>
    <col min="11018" max="11020" width="9.140625" style="9"/>
    <col min="11021" max="11021" width="13.7109375" style="9" customWidth="1"/>
    <col min="11022" max="11022" width="15.7109375" style="9" customWidth="1"/>
    <col min="11023" max="11023" width="13.7109375" style="9" customWidth="1"/>
    <col min="11024" max="11024" width="15.7109375" style="9" customWidth="1"/>
    <col min="11025" max="11025" width="13.7109375" style="9" customWidth="1"/>
    <col min="11026" max="11026" width="15.7109375" style="9" customWidth="1"/>
    <col min="11027" max="11027" width="16.28515625" style="9" customWidth="1"/>
    <col min="11028" max="11264" width="9.140625" style="9"/>
    <col min="11265" max="11265" width="4.85546875" style="9" customWidth="1"/>
    <col min="11266" max="11266" width="32.7109375" style="9" customWidth="1"/>
    <col min="11267" max="11267" width="9.140625" style="9"/>
    <col min="11268" max="11268" width="10" style="9" customWidth="1"/>
    <col min="11269" max="11271" width="9.140625" style="9"/>
    <col min="11272" max="11272" width="13.7109375" style="9" customWidth="1"/>
    <col min="11273" max="11273" width="15.7109375" style="9" customWidth="1"/>
    <col min="11274" max="11276" width="9.140625" style="9"/>
    <col min="11277" max="11277" width="13.7109375" style="9" customWidth="1"/>
    <col min="11278" max="11278" width="15.7109375" style="9" customWidth="1"/>
    <col min="11279" max="11279" width="13.7109375" style="9" customWidth="1"/>
    <col min="11280" max="11280" width="15.7109375" style="9" customWidth="1"/>
    <col min="11281" max="11281" width="13.7109375" style="9" customWidth="1"/>
    <col min="11282" max="11282" width="15.7109375" style="9" customWidth="1"/>
    <col min="11283" max="11283" width="16.28515625" style="9" customWidth="1"/>
    <col min="11284" max="11520" width="9.140625" style="9"/>
    <col min="11521" max="11521" width="4.85546875" style="9" customWidth="1"/>
    <col min="11522" max="11522" width="32.7109375" style="9" customWidth="1"/>
    <col min="11523" max="11523" width="9.140625" style="9"/>
    <col min="11524" max="11524" width="10" style="9" customWidth="1"/>
    <col min="11525" max="11527" width="9.140625" style="9"/>
    <col min="11528" max="11528" width="13.7109375" style="9" customWidth="1"/>
    <col min="11529" max="11529" width="15.7109375" style="9" customWidth="1"/>
    <col min="11530" max="11532" width="9.140625" style="9"/>
    <col min="11533" max="11533" width="13.7109375" style="9" customWidth="1"/>
    <col min="11534" max="11534" width="15.7109375" style="9" customWidth="1"/>
    <col min="11535" max="11535" width="13.7109375" style="9" customWidth="1"/>
    <col min="11536" max="11536" width="15.7109375" style="9" customWidth="1"/>
    <col min="11537" max="11537" width="13.7109375" style="9" customWidth="1"/>
    <col min="11538" max="11538" width="15.7109375" style="9" customWidth="1"/>
    <col min="11539" max="11539" width="16.28515625" style="9" customWidth="1"/>
    <col min="11540" max="11776" width="9.140625" style="9"/>
    <col min="11777" max="11777" width="4.85546875" style="9" customWidth="1"/>
    <col min="11778" max="11778" width="32.7109375" style="9" customWidth="1"/>
    <col min="11779" max="11779" width="9.140625" style="9"/>
    <col min="11780" max="11780" width="10" style="9" customWidth="1"/>
    <col min="11781" max="11783" width="9.140625" style="9"/>
    <col min="11784" max="11784" width="13.7109375" style="9" customWidth="1"/>
    <col min="11785" max="11785" width="15.7109375" style="9" customWidth="1"/>
    <col min="11786" max="11788" width="9.140625" style="9"/>
    <col min="11789" max="11789" width="13.7109375" style="9" customWidth="1"/>
    <col min="11790" max="11790" width="15.7109375" style="9" customWidth="1"/>
    <col min="11791" max="11791" width="13.7109375" style="9" customWidth="1"/>
    <col min="11792" max="11792" width="15.7109375" style="9" customWidth="1"/>
    <col min="11793" max="11793" width="13.7109375" style="9" customWidth="1"/>
    <col min="11794" max="11794" width="15.7109375" style="9" customWidth="1"/>
    <col min="11795" max="11795" width="16.28515625" style="9" customWidth="1"/>
    <col min="11796" max="12032" width="9.140625" style="9"/>
    <col min="12033" max="12033" width="4.85546875" style="9" customWidth="1"/>
    <col min="12034" max="12034" width="32.7109375" style="9" customWidth="1"/>
    <col min="12035" max="12035" width="9.140625" style="9"/>
    <col min="12036" max="12036" width="10" style="9" customWidth="1"/>
    <col min="12037" max="12039" width="9.140625" style="9"/>
    <col min="12040" max="12040" width="13.7109375" style="9" customWidth="1"/>
    <col min="12041" max="12041" width="15.7109375" style="9" customWidth="1"/>
    <col min="12042" max="12044" width="9.140625" style="9"/>
    <col min="12045" max="12045" width="13.7109375" style="9" customWidth="1"/>
    <col min="12046" max="12046" width="15.7109375" style="9" customWidth="1"/>
    <col min="12047" max="12047" width="13.7109375" style="9" customWidth="1"/>
    <col min="12048" max="12048" width="15.7109375" style="9" customWidth="1"/>
    <col min="12049" max="12049" width="13.7109375" style="9" customWidth="1"/>
    <col min="12050" max="12050" width="15.7109375" style="9" customWidth="1"/>
    <col min="12051" max="12051" width="16.28515625" style="9" customWidth="1"/>
    <col min="12052" max="12288" width="9.140625" style="9"/>
    <col min="12289" max="12289" width="4.85546875" style="9" customWidth="1"/>
    <col min="12290" max="12290" width="32.7109375" style="9" customWidth="1"/>
    <col min="12291" max="12291" width="9.140625" style="9"/>
    <col min="12292" max="12292" width="10" style="9" customWidth="1"/>
    <col min="12293" max="12295" width="9.140625" style="9"/>
    <col min="12296" max="12296" width="13.7109375" style="9" customWidth="1"/>
    <col min="12297" max="12297" width="15.7109375" style="9" customWidth="1"/>
    <col min="12298" max="12300" width="9.140625" style="9"/>
    <col min="12301" max="12301" width="13.7109375" style="9" customWidth="1"/>
    <col min="12302" max="12302" width="15.7109375" style="9" customWidth="1"/>
    <col min="12303" max="12303" width="13.7109375" style="9" customWidth="1"/>
    <col min="12304" max="12304" width="15.7109375" style="9" customWidth="1"/>
    <col min="12305" max="12305" width="13.7109375" style="9" customWidth="1"/>
    <col min="12306" max="12306" width="15.7109375" style="9" customWidth="1"/>
    <col min="12307" max="12307" width="16.28515625" style="9" customWidth="1"/>
    <col min="12308" max="12544" width="9.140625" style="9"/>
    <col min="12545" max="12545" width="4.85546875" style="9" customWidth="1"/>
    <col min="12546" max="12546" width="32.7109375" style="9" customWidth="1"/>
    <col min="12547" max="12547" width="9.140625" style="9"/>
    <col min="12548" max="12548" width="10" style="9" customWidth="1"/>
    <col min="12549" max="12551" width="9.140625" style="9"/>
    <col min="12552" max="12552" width="13.7109375" style="9" customWidth="1"/>
    <col min="12553" max="12553" width="15.7109375" style="9" customWidth="1"/>
    <col min="12554" max="12556" width="9.140625" style="9"/>
    <col min="12557" max="12557" width="13.7109375" style="9" customWidth="1"/>
    <col min="12558" max="12558" width="15.7109375" style="9" customWidth="1"/>
    <col min="12559" max="12559" width="13.7109375" style="9" customWidth="1"/>
    <col min="12560" max="12560" width="15.7109375" style="9" customWidth="1"/>
    <col min="12561" max="12561" width="13.7109375" style="9" customWidth="1"/>
    <col min="12562" max="12562" width="15.7109375" style="9" customWidth="1"/>
    <col min="12563" max="12563" width="16.28515625" style="9" customWidth="1"/>
    <col min="12564" max="12800" width="9.140625" style="9"/>
    <col min="12801" max="12801" width="4.85546875" style="9" customWidth="1"/>
    <col min="12802" max="12802" width="32.7109375" style="9" customWidth="1"/>
    <col min="12803" max="12803" width="9.140625" style="9"/>
    <col min="12804" max="12804" width="10" style="9" customWidth="1"/>
    <col min="12805" max="12807" width="9.140625" style="9"/>
    <col min="12808" max="12808" width="13.7109375" style="9" customWidth="1"/>
    <col min="12809" max="12809" width="15.7109375" style="9" customWidth="1"/>
    <col min="12810" max="12812" width="9.140625" style="9"/>
    <col min="12813" max="12813" width="13.7109375" style="9" customWidth="1"/>
    <col min="12814" max="12814" width="15.7109375" style="9" customWidth="1"/>
    <col min="12815" max="12815" width="13.7109375" style="9" customWidth="1"/>
    <col min="12816" max="12816" width="15.7109375" style="9" customWidth="1"/>
    <col min="12817" max="12817" width="13.7109375" style="9" customWidth="1"/>
    <col min="12818" max="12818" width="15.7109375" style="9" customWidth="1"/>
    <col min="12819" max="12819" width="16.28515625" style="9" customWidth="1"/>
    <col min="12820" max="13056" width="9.140625" style="9"/>
    <col min="13057" max="13057" width="4.85546875" style="9" customWidth="1"/>
    <col min="13058" max="13058" width="32.7109375" style="9" customWidth="1"/>
    <col min="13059" max="13059" width="9.140625" style="9"/>
    <col min="13060" max="13060" width="10" style="9" customWidth="1"/>
    <col min="13061" max="13063" width="9.140625" style="9"/>
    <col min="13064" max="13064" width="13.7109375" style="9" customWidth="1"/>
    <col min="13065" max="13065" width="15.7109375" style="9" customWidth="1"/>
    <col min="13066" max="13068" width="9.140625" style="9"/>
    <col min="13069" max="13069" width="13.7109375" style="9" customWidth="1"/>
    <col min="13070" max="13070" width="15.7109375" style="9" customWidth="1"/>
    <col min="13071" max="13071" width="13.7109375" style="9" customWidth="1"/>
    <col min="13072" max="13072" width="15.7109375" style="9" customWidth="1"/>
    <col min="13073" max="13073" width="13.7109375" style="9" customWidth="1"/>
    <col min="13074" max="13074" width="15.7109375" style="9" customWidth="1"/>
    <col min="13075" max="13075" width="16.28515625" style="9" customWidth="1"/>
    <col min="13076" max="13312" width="9.140625" style="9"/>
    <col min="13313" max="13313" width="4.85546875" style="9" customWidth="1"/>
    <col min="13314" max="13314" width="32.7109375" style="9" customWidth="1"/>
    <col min="13315" max="13315" width="9.140625" style="9"/>
    <col min="13316" max="13316" width="10" style="9" customWidth="1"/>
    <col min="13317" max="13319" width="9.140625" style="9"/>
    <col min="13320" max="13320" width="13.7109375" style="9" customWidth="1"/>
    <col min="13321" max="13321" width="15.7109375" style="9" customWidth="1"/>
    <col min="13322" max="13324" width="9.140625" style="9"/>
    <col min="13325" max="13325" width="13.7109375" style="9" customWidth="1"/>
    <col min="13326" max="13326" width="15.7109375" style="9" customWidth="1"/>
    <col min="13327" max="13327" width="13.7109375" style="9" customWidth="1"/>
    <col min="13328" max="13328" width="15.7109375" style="9" customWidth="1"/>
    <col min="13329" max="13329" width="13.7109375" style="9" customWidth="1"/>
    <col min="13330" max="13330" width="15.7109375" style="9" customWidth="1"/>
    <col min="13331" max="13331" width="16.28515625" style="9" customWidth="1"/>
    <col min="13332" max="13568" width="9.140625" style="9"/>
    <col min="13569" max="13569" width="4.85546875" style="9" customWidth="1"/>
    <col min="13570" max="13570" width="32.7109375" style="9" customWidth="1"/>
    <col min="13571" max="13571" width="9.140625" style="9"/>
    <col min="13572" max="13572" width="10" style="9" customWidth="1"/>
    <col min="13573" max="13575" width="9.140625" style="9"/>
    <col min="13576" max="13576" width="13.7109375" style="9" customWidth="1"/>
    <col min="13577" max="13577" width="15.7109375" style="9" customWidth="1"/>
    <col min="13578" max="13580" width="9.140625" style="9"/>
    <col min="13581" max="13581" width="13.7109375" style="9" customWidth="1"/>
    <col min="13582" max="13582" width="15.7109375" style="9" customWidth="1"/>
    <col min="13583" max="13583" width="13.7109375" style="9" customWidth="1"/>
    <col min="13584" max="13584" width="15.7109375" style="9" customWidth="1"/>
    <col min="13585" max="13585" width="13.7109375" style="9" customWidth="1"/>
    <col min="13586" max="13586" width="15.7109375" style="9" customWidth="1"/>
    <col min="13587" max="13587" width="16.28515625" style="9" customWidth="1"/>
    <col min="13588" max="13824" width="9.140625" style="9"/>
    <col min="13825" max="13825" width="4.85546875" style="9" customWidth="1"/>
    <col min="13826" max="13826" width="32.7109375" style="9" customWidth="1"/>
    <col min="13827" max="13827" width="9.140625" style="9"/>
    <col min="13828" max="13828" width="10" style="9" customWidth="1"/>
    <col min="13829" max="13831" width="9.140625" style="9"/>
    <col min="13832" max="13832" width="13.7109375" style="9" customWidth="1"/>
    <col min="13833" max="13833" width="15.7109375" style="9" customWidth="1"/>
    <col min="13834" max="13836" width="9.140625" style="9"/>
    <col min="13837" max="13837" width="13.7109375" style="9" customWidth="1"/>
    <col min="13838" max="13838" width="15.7109375" style="9" customWidth="1"/>
    <col min="13839" max="13839" width="13.7109375" style="9" customWidth="1"/>
    <col min="13840" max="13840" width="15.7109375" style="9" customWidth="1"/>
    <col min="13841" max="13841" width="13.7109375" style="9" customWidth="1"/>
    <col min="13842" max="13842" width="15.7109375" style="9" customWidth="1"/>
    <col min="13843" max="13843" width="16.28515625" style="9" customWidth="1"/>
    <col min="13844" max="14080" width="9.140625" style="9"/>
    <col min="14081" max="14081" width="4.85546875" style="9" customWidth="1"/>
    <col min="14082" max="14082" width="32.7109375" style="9" customWidth="1"/>
    <col min="14083" max="14083" width="9.140625" style="9"/>
    <col min="14084" max="14084" width="10" style="9" customWidth="1"/>
    <col min="14085" max="14087" width="9.140625" style="9"/>
    <col min="14088" max="14088" width="13.7109375" style="9" customWidth="1"/>
    <col min="14089" max="14089" width="15.7109375" style="9" customWidth="1"/>
    <col min="14090" max="14092" width="9.140625" style="9"/>
    <col min="14093" max="14093" width="13.7109375" style="9" customWidth="1"/>
    <col min="14094" max="14094" width="15.7109375" style="9" customWidth="1"/>
    <col min="14095" max="14095" width="13.7109375" style="9" customWidth="1"/>
    <col min="14096" max="14096" width="15.7109375" style="9" customWidth="1"/>
    <col min="14097" max="14097" width="13.7109375" style="9" customWidth="1"/>
    <col min="14098" max="14098" width="15.7109375" style="9" customWidth="1"/>
    <col min="14099" max="14099" width="16.28515625" style="9" customWidth="1"/>
    <col min="14100" max="14336" width="9.140625" style="9"/>
    <col min="14337" max="14337" width="4.85546875" style="9" customWidth="1"/>
    <col min="14338" max="14338" width="32.7109375" style="9" customWidth="1"/>
    <col min="14339" max="14339" width="9.140625" style="9"/>
    <col min="14340" max="14340" width="10" style="9" customWidth="1"/>
    <col min="14341" max="14343" width="9.140625" style="9"/>
    <col min="14344" max="14344" width="13.7109375" style="9" customWidth="1"/>
    <col min="14345" max="14345" width="15.7109375" style="9" customWidth="1"/>
    <col min="14346" max="14348" width="9.140625" style="9"/>
    <col min="14349" max="14349" width="13.7109375" style="9" customWidth="1"/>
    <col min="14350" max="14350" width="15.7109375" style="9" customWidth="1"/>
    <col min="14351" max="14351" width="13.7109375" style="9" customWidth="1"/>
    <col min="14352" max="14352" width="15.7109375" style="9" customWidth="1"/>
    <col min="14353" max="14353" width="13.7109375" style="9" customWidth="1"/>
    <col min="14354" max="14354" width="15.7109375" style="9" customWidth="1"/>
    <col min="14355" max="14355" width="16.28515625" style="9" customWidth="1"/>
    <col min="14356" max="14592" width="9.140625" style="9"/>
    <col min="14593" max="14593" width="4.85546875" style="9" customWidth="1"/>
    <col min="14594" max="14594" width="32.7109375" style="9" customWidth="1"/>
    <col min="14595" max="14595" width="9.140625" style="9"/>
    <col min="14596" max="14596" width="10" style="9" customWidth="1"/>
    <col min="14597" max="14599" width="9.140625" style="9"/>
    <col min="14600" max="14600" width="13.7109375" style="9" customWidth="1"/>
    <col min="14601" max="14601" width="15.7109375" style="9" customWidth="1"/>
    <col min="14602" max="14604" width="9.140625" style="9"/>
    <col min="14605" max="14605" width="13.7109375" style="9" customWidth="1"/>
    <col min="14606" max="14606" width="15.7109375" style="9" customWidth="1"/>
    <col min="14607" max="14607" width="13.7109375" style="9" customWidth="1"/>
    <col min="14608" max="14608" width="15.7109375" style="9" customWidth="1"/>
    <col min="14609" max="14609" width="13.7109375" style="9" customWidth="1"/>
    <col min="14610" max="14610" width="15.7109375" style="9" customWidth="1"/>
    <col min="14611" max="14611" width="16.28515625" style="9" customWidth="1"/>
    <col min="14612" max="14848" width="9.140625" style="9"/>
    <col min="14849" max="14849" width="4.85546875" style="9" customWidth="1"/>
    <col min="14850" max="14850" width="32.7109375" style="9" customWidth="1"/>
    <col min="14851" max="14851" width="9.140625" style="9"/>
    <col min="14852" max="14852" width="10" style="9" customWidth="1"/>
    <col min="14853" max="14855" width="9.140625" style="9"/>
    <col min="14856" max="14856" width="13.7109375" style="9" customWidth="1"/>
    <col min="14857" max="14857" width="15.7109375" style="9" customWidth="1"/>
    <col min="14858" max="14860" width="9.140625" style="9"/>
    <col min="14861" max="14861" width="13.7109375" style="9" customWidth="1"/>
    <col min="14862" max="14862" width="15.7109375" style="9" customWidth="1"/>
    <col min="14863" max="14863" width="13.7109375" style="9" customWidth="1"/>
    <col min="14864" max="14864" width="15.7109375" style="9" customWidth="1"/>
    <col min="14865" max="14865" width="13.7109375" style="9" customWidth="1"/>
    <col min="14866" max="14866" width="15.7109375" style="9" customWidth="1"/>
    <col min="14867" max="14867" width="16.28515625" style="9" customWidth="1"/>
    <col min="14868" max="15104" width="9.140625" style="9"/>
    <col min="15105" max="15105" width="4.85546875" style="9" customWidth="1"/>
    <col min="15106" max="15106" width="32.7109375" style="9" customWidth="1"/>
    <col min="15107" max="15107" width="9.140625" style="9"/>
    <col min="15108" max="15108" width="10" style="9" customWidth="1"/>
    <col min="15109" max="15111" width="9.140625" style="9"/>
    <col min="15112" max="15112" width="13.7109375" style="9" customWidth="1"/>
    <col min="15113" max="15113" width="15.7109375" style="9" customWidth="1"/>
    <col min="15114" max="15116" width="9.140625" style="9"/>
    <col min="15117" max="15117" width="13.7109375" style="9" customWidth="1"/>
    <col min="15118" max="15118" width="15.7109375" style="9" customWidth="1"/>
    <col min="15119" max="15119" width="13.7109375" style="9" customWidth="1"/>
    <col min="15120" max="15120" width="15.7109375" style="9" customWidth="1"/>
    <col min="15121" max="15121" width="13.7109375" style="9" customWidth="1"/>
    <col min="15122" max="15122" width="15.7109375" style="9" customWidth="1"/>
    <col min="15123" max="15123" width="16.28515625" style="9" customWidth="1"/>
    <col min="15124" max="15360" width="9.140625" style="9"/>
    <col min="15361" max="15361" width="4.85546875" style="9" customWidth="1"/>
    <col min="15362" max="15362" width="32.7109375" style="9" customWidth="1"/>
    <col min="15363" max="15363" width="9.140625" style="9"/>
    <col min="15364" max="15364" width="10" style="9" customWidth="1"/>
    <col min="15365" max="15367" width="9.140625" style="9"/>
    <col min="15368" max="15368" width="13.7109375" style="9" customWidth="1"/>
    <col min="15369" max="15369" width="15.7109375" style="9" customWidth="1"/>
    <col min="15370" max="15372" width="9.140625" style="9"/>
    <col min="15373" max="15373" width="13.7109375" style="9" customWidth="1"/>
    <col min="15374" max="15374" width="15.7109375" style="9" customWidth="1"/>
    <col min="15375" max="15375" width="13.7109375" style="9" customWidth="1"/>
    <col min="15376" max="15376" width="15.7109375" style="9" customWidth="1"/>
    <col min="15377" max="15377" width="13.7109375" style="9" customWidth="1"/>
    <col min="15378" max="15378" width="15.7109375" style="9" customWidth="1"/>
    <col min="15379" max="15379" width="16.28515625" style="9" customWidth="1"/>
    <col min="15380" max="15616" width="9.140625" style="9"/>
    <col min="15617" max="15617" width="4.85546875" style="9" customWidth="1"/>
    <col min="15618" max="15618" width="32.7109375" style="9" customWidth="1"/>
    <col min="15619" max="15619" width="9.140625" style="9"/>
    <col min="15620" max="15620" width="10" style="9" customWidth="1"/>
    <col min="15621" max="15623" width="9.140625" style="9"/>
    <col min="15624" max="15624" width="13.7109375" style="9" customWidth="1"/>
    <col min="15625" max="15625" width="15.7109375" style="9" customWidth="1"/>
    <col min="15626" max="15628" width="9.140625" style="9"/>
    <col min="15629" max="15629" width="13.7109375" style="9" customWidth="1"/>
    <col min="15630" max="15630" width="15.7109375" style="9" customWidth="1"/>
    <col min="15631" max="15631" width="13.7109375" style="9" customWidth="1"/>
    <col min="15632" max="15632" width="15.7109375" style="9" customWidth="1"/>
    <col min="15633" max="15633" width="13.7109375" style="9" customWidth="1"/>
    <col min="15634" max="15634" width="15.7109375" style="9" customWidth="1"/>
    <col min="15635" max="15635" width="16.28515625" style="9" customWidth="1"/>
    <col min="15636" max="15872" width="9.140625" style="9"/>
    <col min="15873" max="15873" width="4.85546875" style="9" customWidth="1"/>
    <col min="15874" max="15874" width="32.7109375" style="9" customWidth="1"/>
    <col min="15875" max="15875" width="9.140625" style="9"/>
    <col min="15876" max="15876" width="10" style="9" customWidth="1"/>
    <col min="15877" max="15879" width="9.140625" style="9"/>
    <col min="15880" max="15880" width="13.7109375" style="9" customWidth="1"/>
    <col min="15881" max="15881" width="15.7109375" style="9" customWidth="1"/>
    <col min="15882" max="15884" width="9.140625" style="9"/>
    <col min="15885" max="15885" width="13.7109375" style="9" customWidth="1"/>
    <col min="15886" max="15886" width="15.7109375" style="9" customWidth="1"/>
    <col min="15887" max="15887" width="13.7109375" style="9" customWidth="1"/>
    <col min="15888" max="15888" width="15.7109375" style="9" customWidth="1"/>
    <col min="15889" max="15889" width="13.7109375" style="9" customWidth="1"/>
    <col min="15890" max="15890" width="15.7109375" style="9" customWidth="1"/>
    <col min="15891" max="15891" width="16.28515625" style="9" customWidth="1"/>
    <col min="15892" max="16128" width="9.140625" style="9"/>
    <col min="16129" max="16129" width="4.85546875" style="9" customWidth="1"/>
    <col min="16130" max="16130" width="32.7109375" style="9" customWidth="1"/>
    <col min="16131" max="16131" width="9.140625" style="9"/>
    <col min="16132" max="16132" width="10" style="9" customWidth="1"/>
    <col min="16133" max="16135" width="9.140625" style="9"/>
    <col min="16136" max="16136" width="13.7109375" style="9" customWidth="1"/>
    <col min="16137" max="16137" width="15.7109375" style="9" customWidth="1"/>
    <col min="16138" max="16140" width="9.140625" style="9"/>
    <col min="16141" max="16141" width="13.7109375" style="9" customWidth="1"/>
    <col min="16142" max="16142" width="15.7109375" style="9" customWidth="1"/>
    <col min="16143" max="16143" width="13.7109375" style="9" customWidth="1"/>
    <col min="16144" max="16144" width="15.7109375" style="9" customWidth="1"/>
    <col min="16145" max="16145" width="13.7109375" style="9" customWidth="1"/>
    <col min="16146" max="16146" width="15.7109375" style="9" customWidth="1"/>
    <col min="16147" max="16147" width="16.28515625" style="9" customWidth="1"/>
    <col min="16148" max="16384" width="9.140625" style="9"/>
  </cols>
  <sheetData>
    <row r="1" spans="2:20" ht="13.5" thickBot="1">
      <c r="B1" s="898"/>
      <c r="C1" s="898"/>
      <c r="D1" s="898"/>
      <c r="E1" s="898"/>
      <c r="F1" s="898"/>
      <c r="G1" s="898"/>
      <c r="H1" s="898"/>
      <c r="I1" s="898"/>
    </row>
    <row r="2" spans="2:20" ht="17.25" customHeight="1">
      <c r="B2" s="777" t="str">
        <f>DADOS!D27</f>
        <v>GESTÃO AMBIENTAL - BR-158/MT</v>
      </c>
      <c r="C2" s="778"/>
      <c r="D2" s="778"/>
      <c r="E2" s="778"/>
      <c r="F2" s="778"/>
      <c r="G2" s="778"/>
      <c r="H2" s="778"/>
      <c r="I2" s="779"/>
      <c r="J2" s="899"/>
      <c r="K2" s="899"/>
      <c r="L2" s="899"/>
      <c r="M2" s="899"/>
      <c r="N2" s="899"/>
      <c r="O2" s="891"/>
      <c r="P2" s="891"/>
      <c r="Q2" s="891"/>
      <c r="R2" s="891"/>
      <c r="S2" s="891"/>
      <c r="T2" s="110"/>
    </row>
    <row r="3" spans="2:20" ht="29.25" customHeight="1">
      <c r="B3" s="881" t="s">
        <v>373</v>
      </c>
      <c r="C3" s="892"/>
      <c r="D3" s="892"/>
      <c r="E3" s="892"/>
      <c r="F3" s="892"/>
      <c r="G3" s="892"/>
      <c r="H3" s="892"/>
      <c r="I3" s="893"/>
      <c r="J3" s="899"/>
      <c r="K3" s="899"/>
      <c r="L3" s="899"/>
      <c r="M3" s="899"/>
      <c r="N3" s="899"/>
      <c r="O3" s="891"/>
      <c r="P3" s="891"/>
      <c r="Q3" s="891"/>
      <c r="R3" s="891"/>
      <c r="S3" s="891"/>
      <c r="T3" s="110"/>
    </row>
    <row r="4" spans="2:20" ht="12.75" customHeight="1">
      <c r="B4" s="503">
        <f>DADOS!E30</f>
        <v>43831</v>
      </c>
      <c r="C4" s="894"/>
      <c r="D4" s="895"/>
      <c r="E4" s="895"/>
      <c r="F4" s="895"/>
      <c r="G4" s="895"/>
      <c r="H4" s="895"/>
      <c r="I4" s="896"/>
      <c r="J4" s="899"/>
      <c r="K4" s="899"/>
      <c r="L4" s="899"/>
      <c r="M4" s="899"/>
      <c r="N4" s="899"/>
      <c r="O4" s="891"/>
      <c r="P4" s="891"/>
      <c r="Q4" s="891"/>
      <c r="R4" s="891"/>
      <c r="S4" s="891"/>
      <c r="T4" s="110"/>
    </row>
    <row r="5" spans="2:20" ht="12.75" customHeight="1">
      <c r="B5" s="505" t="s">
        <v>37</v>
      </c>
      <c r="C5" s="897"/>
      <c r="D5" s="895"/>
      <c r="E5" s="895"/>
      <c r="F5" s="895"/>
      <c r="G5" s="895"/>
      <c r="H5" s="895"/>
      <c r="I5" s="896"/>
      <c r="J5" s="899"/>
      <c r="K5" s="899"/>
      <c r="L5" s="899"/>
      <c r="M5" s="899"/>
      <c r="N5" s="899"/>
      <c r="O5" s="891"/>
      <c r="P5" s="891"/>
      <c r="Q5" s="891"/>
      <c r="R5" s="891"/>
      <c r="S5" s="891"/>
      <c r="T5" s="110"/>
    </row>
    <row r="6" spans="2:20" ht="15" customHeight="1">
      <c r="B6" s="903" t="s">
        <v>51</v>
      </c>
      <c r="C6" s="904"/>
      <c r="D6" s="100"/>
      <c r="E6" s="905" t="s">
        <v>30</v>
      </c>
      <c r="F6" s="905"/>
      <c r="G6" s="906"/>
      <c r="H6" s="905" t="s">
        <v>52</v>
      </c>
      <c r="I6" s="907"/>
      <c r="J6" s="908"/>
      <c r="K6" s="908"/>
      <c r="L6" s="909"/>
      <c r="M6" s="908"/>
      <c r="N6" s="909"/>
      <c r="O6" s="908"/>
      <c r="P6" s="909"/>
      <c r="Q6" s="908"/>
      <c r="R6" s="909"/>
      <c r="S6" s="356"/>
      <c r="T6" s="110"/>
    </row>
    <row r="7" spans="2:20" ht="12.75" customHeight="1">
      <c r="B7" s="903" t="s">
        <v>670</v>
      </c>
      <c r="C7" s="904"/>
      <c r="D7" s="75"/>
      <c r="E7" s="75"/>
      <c r="F7" s="75"/>
      <c r="G7" s="75"/>
      <c r="H7" s="506"/>
      <c r="I7" s="370"/>
      <c r="J7" s="356"/>
      <c r="K7" s="356"/>
      <c r="L7" s="356"/>
      <c r="M7" s="508"/>
      <c r="N7" s="508"/>
      <c r="O7" s="508"/>
      <c r="P7" s="508"/>
      <c r="Q7" s="508"/>
      <c r="R7" s="508"/>
      <c r="S7" s="356"/>
      <c r="T7" s="110"/>
    </row>
    <row r="8" spans="2:20">
      <c r="B8" s="105" t="s">
        <v>55</v>
      </c>
      <c r="C8" s="78" t="s">
        <v>659</v>
      </c>
      <c r="D8" s="506" t="s">
        <v>46</v>
      </c>
      <c r="E8" s="506" t="s">
        <v>57</v>
      </c>
      <c r="F8" s="506" t="s">
        <v>48</v>
      </c>
      <c r="G8" s="506" t="s">
        <v>49</v>
      </c>
      <c r="H8" s="506" t="s">
        <v>54</v>
      </c>
      <c r="I8" s="370" t="s">
        <v>14</v>
      </c>
      <c r="J8" s="508"/>
      <c r="K8" s="508"/>
      <c r="L8" s="508"/>
      <c r="M8" s="508"/>
      <c r="N8" s="508"/>
      <c r="O8" s="508"/>
      <c r="P8" s="508"/>
      <c r="Q8" s="508"/>
      <c r="R8" s="508"/>
      <c r="S8" s="361"/>
      <c r="T8" s="110"/>
    </row>
    <row r="9" spans="2:20">
      <c r="B9" s="98" t="s">
        <v>336</v>
      </c>
      <c r="C9" s="90" t="str">
        <f>DADOS_CONSULT!A27</f>
        <v>P8044</v>
      </c>
      <c r="D9" s="418" t="s">
        <v>237</v>
      </c>
      <c r="E9" s="90">
        <v>1</v>
      </c>
      <c r="F9" s="90">
        <v>264</v>
      </c>
      <c r="G9" s="90">
        <f>F9*E9</f>
        <v>264</v>
      </c>
      <c r="H9" s="512">
        <f>DADOS_CONSULT!D27/22</f>
        <v>723.59818181818184</v>
      </c>
      <c r="I9" s="513">
        <f t="shared" ref="I9" si="0">TRUNC(H9*G9,2)</f>
        <v>191029.92</v>
      </c>
      <c r="J9" s="509"/>
      <c r="K9" s="509"/>
      <c r="L9" s="509"/>
      <c r="M9" s="362"/>
      <c r="N9" s="362"/>
      <c r="O9" s="362"/>
      <c r="P9" s="362"/>
      <c r="Q9" s="362"/>
      <c r="R9" s="362"/>
      <c r="S9" s="361"/>
      <c r="T9" s="110"/>
    </row>
    <row r="10" spans="2:20" ht="25.5">
      <c r="B10" s="511" t="s">
        <v>337</v>
      </c>
      <c r="C10" s="90" t="str">
        <f>DADOS_CONSULT!A47</f>
        <v>P8067</v>
      </c>
      <c r="D10" s="418" t="s">
        <v>237</v>
      </c>
      <c r="E10" s="90">
        <v>1</v>
      </c>
      <c r="F10" s="90">
        <v>264</v>
      </c>
      <c r="G10" s="90">
        <f>F10*E10</f>
        <v>264</v>
      </c>
      <c r="H10" s="512">
        <f>DADOS_CONSULT!D47/22</f>
        <v>599.34590909090912</v>
      </c>
      <c r="I10" s="513">
        <f t="shared" ref="I10" si="1">TRUNC(H10*G10,2)</f>
        <v>158227.32</v>
      </c>
      <c r="J10" s="509"/>
      <c r="K10" s="509"/>
      <c r="L10" s="509"/>
      <c r="M10" s="362"/>
      <c r="N10" s="362"/>
      <c r="O10" s="362"/>
      <c r="P10" s="362"/>
      <c r="Q10" s="362"/>
      <c r="R10" s="362"/>
      <c r="S10" s="361"/>
      <c r="T10" s="110"/>
    </row>
    <row r="11" spans="2:20" ht="25.5">
      <c r="B11" s="511" t="s">
        <v>338</v>
      </c>
      <c r="C11" s="90" t="str">
        <f>DADOS_CONSULT!A80</f>
        <v>P8151</v>
      </c>
      <c r="D11" s="418" t="s">
        <v>237</v>
      </c>
      <c r="E11" s="90">
        <v>1</v>
      </c>
      <c r="F11" s="90">
        <v>264</v>
      </c>
      <c r="G11" s="90">
        <f>F11*E11</f>
        <v>264</v>
      </c>
      <c r="H11" s="512">
        <f>DADOS_CONSULT!D80/22</f>
        <v>174.24863636363636</v>
      </c>
      <c r="I11" s="513">
        <f t="shared" ref="I11" si="2">TRUNC(H11*G11,2)</f>
        <v>46001.64</v>
      </c>
      <c r="J11" s="509"/>
      <c r="K11" s="509"/>
      <c r="L11" s="509"/>
      <c r="M11" s="362"/>
      <c r="N11" s="362"/>
      <c r="O11" s="362"/>
      <c r="P11" s="362"/>
      <c r="Q11" s="362"/>
      <c r="R11" s="362"/>
      <c r="S11" s="361"/>
      <c r="T11" s="110"/>
    </row>
    <row r="12" spans="2:20">
      <c r="B12" s="511" t="s">
        <v>238</v>
      </c>
      <c r="C12" s="90" t="str">
        <f>DADOS_CONSULT!A66</f>
        <v>P8113</v>
      </c>
      <c r="D12" s="418" t="s">
        <v>237</v>
      </c>
      <c r="E12" s="90">
        <v>1</v>
      </c>
      <c r="F12" s="90">
        <v>264</v>
      </c>
      <c r="G12" s="90">
        <f>F12*E12</f>
        <v>264</v>
      </c>
      <c r="H12" s="512">
        <f>DADOS_CONSULT!D66/22</f>
        <v>76.184545454545457</v>
      </c>
      <c r="I12" s="513">
        <f t="shared" ref="I12" si="3">TRUNC(H12*G12,2)</f>
        <v>20112.72</v>
      </c>
      <c r="J12" s="509"/>
      <c r="K12" s="509"/>
      <c r="L12" s="509"/>
      <c r="M12" s="362"/>
      <c r="N12" s="362"/>
      <c r="O12" s="362"/>
      <c r="P12" s="362"/>
      <c r="Q12" s="362"/>
      <c r="R12" s="362"/>
      <c r="S12" s="361"/>
      <c r="T12" s="110"/>
    </row>
    <row r="13" spans="2:20">
      <c r="B13" s="605" t="s">
        <v>644</v>
      </c>
      <c r="C13" s="90"/>
      <c r="D13" s="418"/>
      <c r="E13" s="90"/>
      <c r="F13" s="90"/>
      <c r="G13" s="90"/>
      <c r="H13" s="512"/>
      <c r="I13" s="514">
        <f>SUM(I9:I12)</f>
        <v>415371.6</v>
      </c>
      <c r="J13" s="509">
        <v>13</v>
      </c>
      <c r="K13" s="509"/>
      <c r="L13" s="509"/>
      <c r="M13" s="362"/>
      <c r="N13" s="363"/>
      <c r="O13" s="362"/>
      <c r="P13" s="363"/>
      <c r="Q13" s="362"/>
      <c r="R13" s="363"/>
      <c r="S13" s="361"/>
      <c r="T13" s="110"/>
    </row>
    <row r="14" spans="2:20" ht="14.25" customHeight="1">
      <c r="B14" s="98"/>
      <c r="C14" s="507"/>
      <c r="D14" s="81"/>
      <c r="E14" s="507"/>
      <c r="F14" s="507"/>
      <c r="G14" s="507"/>
      <c r="H14" s="295"/>
      <c r="I14" s="296"/>
      <c r="J14" s="509"/>
      <c r="K14" s="509"/>
      <c r="L14" s="509"/>
      <c r="M14" s="362"/>
      <c r="N14" s="363">
        <f>22*12</f>
        <v>264</v>
      </c>
      <c r="O14" s="362"/>
      <c r="P14" s="363"/>
      <c r="Q14" s="362"/>
      <c r="R14" s="363"/>
      <c r="S14" s="361"/>
      <c r="T14" s="110"/>
    </row>
    <row r="15" spans="2:20">
      <c r="B15" s="105" t="s">
        <v>651</v>
      </c>
      <c r="C15" s="307"/>
      <c r="D15" s="306"/>
      <c r="E15" s="306"/>
      <c r="F15" s="306"/>
      <c r="G15" s="320" t="s">
        <v>637</v>
      </c>
      <c r="H15" s="607" t="s">
        <v>62</v>
      </c>
      <c r="I15" s="576"/>
      <c r="J15" s="509"/>
      <c r="K15" s="509"/>
      <c r="L15" s="509"/>
      <c r="M15" s="362"/>
      <c r="N15" s="362"/>
      <c r="O15" s="362"/>
      <c r="P15" s="362"/>
      <c r="Q15" s="362"/>
      <c r="R15" s="362"/>
      <c r="S15" s="361"/>
      <c r="T15" s="110"/>
    </row>
    <row r="16" spans="2:20">
      <c r="B16" s="71" t="s">
        <v>336</v>
      </c>
      <c r="C16" s="307"/>
      <c r="D16" s="306"/>
      <c r="E16" s="306"/>
      <c r="F16" s="306"/>
      <c r="G16" s="601">
        <f>DADOS_CONSULT!W27/100</f>
        <v>0.84819999999999995</v>
      </c>
      <c r="H16" s="295">
        <v>1</v>
      </c>
      <c r="I16" s="326">
        <f>G16*H16*I9</f>
        <v>162031.578144</v>
      </c>
      <c r="J16" s="593"/>
      <c r="K16" s="593"/>
      <c r="L16" s="593"/>
      <c r="M16" s="362"/>
      <c r="N16" s="362"/>
      <c r="O16" s="362"/>
      <c r="P16" s="362"/>
      <c r="Q16" s="362"/>
      <c r="R16" s="362"/>
      <c r="S16" s="361"/>
      <c r="T16" s="110"/>
    </row>
    <row r="17" spans="2:20">
      <c r="B17" s="71" t="s">
        <v>664</v>
      </c>
      <c r="C17" s="307"/>
      <c r="D17" s="306"/>
      <c r="E17" s="306"/>
      <c r="F17" s="306"/>
      <c r="G17" s="601">
        <f>DADOS_CONSULT!W47/100</f>
        <v>0.8590000000000001</v>
      </c>
      <c r="H17" s="295">
        <v>1</v>
      </c>
      <c r="I17" s="326">
        <f>G17*H17*I10</f>
        <v>135917.26788000003</v>
      </c>
      <c r="J17" s="593"/>
      <c r="K17" s="593"/>
      <c r="L17" s="593"/>
      <c r="M17" s="362"/>
      <c r="N17" s="362"/>
      <c r="O17" s="362"/>
      <c r="P17" s="362"/>
      <c r="Q17" s="362"/>
      <c r="R17" s="362"/>
      <c r="S17" s="361"/>
      <c r="T17" s="110"/>
    </row>
    <row r="18" spans="2:20">
      <c r="B18" s="71" t="s">
        <v>674</v>
      </c>
      <c r="C18" s="307"/>
      <c r="D18" s="306"/>
      <c r="E18" s="306"/>
      <c r="F18" s="306"/>
      <c r="G18" s="601">
        <f>DADOS_CONSULT!W80/100</f>
        <v>0.97310000000000008</v>
      </c>
      <c r="H18" s="295">
        <v>1</v>
      </c>
      <c r="I18" s="326">
        <f>G18*H18*I11</f>
        <v>44764.195884000001</v>
      </c>
      <c r="J18" s="593"/>
      <c r="K18" s="593"/>
      <c r="L18" s="593"/>
      <c r="M18" s="362"/>
      <c r="N18" s="362"/>
      <c r="O18" s="362"/>
      <c r="P18" s="362"/>
      <c r="Q18" s="362"/>
      <c r="R18" s="362"/>
      <c r="S18" s="361"/>
      <c r="T18" s="110"/>
    </row>
    <row r="19" spans="2:20">
      <c r="B19" s="71" t="s">
        <v>238</v>
      </c>
      <c r="C19" s="307"/>
      <c r="D19" s="306"/>
      <c r="E19" s="306"/>
      <c r="F19" s="306"/>
      <c r="G19" s="601">
        <f>DADOS_CONSULT!W66/100</f>
        <v>1.298</v>
      </c>
      <c r="H19" s="295">
        <v>1</v>
      </c>
      <c r="I19" s="326">
        <f>G19*H19*I12</f>
        <v>26106.310560000002</v>
      </c>
      <c r="J19" s="509"/>
      <c r="K19" s="509"/>
      <c r="L19" s="364"/>
      <c r="M19" s="362"/>
      <c r="N19" s="365"/>
      <c r="O19" s="362"/>
      <c r="P19" s="365"/>
      <c r="Q19" s="362"/>
      <c r="R19" s="365"/>
      <c r="S19" s="361"/>
      <c r="T19" s="110"/>
    </row>
    <row r="20" spans="2:20">
      <c r="B20" s="605" t="s">
        <v>645</v>
      </c>
      <c r="C20" s="307"/>
      <c r="D20" s="306"/>
      <c r="E20" s="306"/>
      <c r="F20" s="306"/>
      <c r="G20" s="578"/>
      <c r="H20" s="295"/>
      <c r="I20" s="296">
        <f>SUM(I16:I19)</f>
        <v>368819.35246800003</v>
      </c>
      <c r="J20" s="509">
        <v>20</v>
      </c>
      <c r="K20" s="509"/>
      <c r="L20" s="364"/>
      <c r="M20" s="362"/>
      <c r="N20" s="363"/>
      <c r="O20" s="362"/>
      <c r="P20" s="363"/>
      <c r="Q20" s="362"/>
      <c r="R20" s="363"/>
      <c r="S20" s="361"/>
      <c r="T20" s="110"/>
    </row>
    <row r="21" spans="2:20">
      <c r="B21" s="577"/>
      <c r="C21" s="307"/>
      <c r="D21" s="306"/>
      <c r="E21" s="306"/>
      <c r="F21" s="595"/>
      <c r="G21" s="601"/>
      <c r="H21" s="295"/>
      <c r="I21" s="296"/>
      <c r="J21" s="593"/>
      <c r="K21" s="509"/>
      <c r="L21" s="364"/>
      <c r="M21" s="362"/>
      <c r="N21" s="363"/>
      <c r="O21" s="362"/>
      <c r="P21" s="363"/>
      <c r="Q21" s="362"/>
      <c r="R21" s="363"/>
      <c r="S21" s="361"/>
      <c r="T21" s="110"/>
    </row>
    <row r="22" spans="2:20">
      <c r="B22" s="105" t="s">
        <v>671</v>
      </c>
      <c r="C22" s="75"/>
      <c r="D22" s="594"/>
      <c r="E22" s="594" t="s">
        <v>48</v>
      </c>
      <c r="F22" s="594" t="s">
        <v>60</v>
      </c>
      <c r="G22" s="594" t="s">
        <v>638</v>
      </c>
      <c r="H22" s="594" t="s">
        <v>54</v>
      </c>
      <c r="I22" s="370" t="s">
        <v>14</v>
      </c>
      <c r="J22" s="356"/>
      <c r="K22" s="356"/>
      <c r="L22" s="356"/>
      <c r="M22" s="356"/>
      <c r="N22" s="356"/>
      <c r="O22" s="356"/>
      <c r="P22" s="356"/>
      <c r="Q22" s="356"/>
      <c r="R22" s="356"/>
      <c r="S22" s="361"/>
      <c r="T22" s="110"/>
    </row>
    <row r="23" spans="2:20">
      <c r="B23" s="71" t="s">
        <v>672</v>
      </c>
      <c r="C23" s="75"/>
      <c r="D23" s="595"/>
      <c r="E23" s="595">
        <v>1</v>
      </c>
      <c r="F23" s="595">
        <v>506</v>
      </c>
      <c r="G23" s="74">
        <f>F23*8</f>
        <v>4048</v>
      </c>
      <c r="H23" s="295">
        <f>DADOS_CONSULT!AF12</f>
        <v>23.89</v>
      </c>
      <c r="I23" s="326">
        <f>TRUNC(H23*G23,2)</f>
        <v>96706.72</v>
      </c>
      <c r="J23" s="592"/>
      <c r="K23" s="508"/>
      <c r="L23" s="508"/>
      <c r="M23" s="508"/>
      <c r="N23" s="508"/>
      <c r="O23" s="508"/>
      <c r="P23" s="508"/>
      <c r="Q23" s="508"/>
      <c r="R23" s="508"/>
      <c r="S23" s="361"/>
      <c r="T23" s="110"/>
    </row>
    <row r="24" spans="2:20">
      <c r="B24" s="71" t="s">
        <v>75</v>
      </c>
      <c r="C24" s="75"/>
      <c r="D24" s="595"/>
      <c r="E24" s="595">
        <v>1</v>
      </c>
      <c r="F24" s="595">
        <v>506</v>
      </c>
      <c r="G24" s="74">
        <f>F24*8</f>
        <v>4048</v>
      </c>
      <c r="H24" s="295">
        <f>DADOS!K43/24</f>
        <v>0.45394286293555569</v>
      </c>
      <c r="I24" s="326">
        <f>TRUNC(H24*G24,2)</f>
        <v>1837.56</v>
      </c>
      <c r="J24" s="593"/>
      <c r="K24" s="509"/>
      <c r="L24" s="366"/>
      <c r="M24" s="362"/>
      <c r="N24" s="365"/>
      <c r="O24" s="362"/>
      <c r="P24" s="365"/>
      <c r="Q24" s="362"/>
      <c r="R24" s="365"/>
      <c r="S24" s="361"/>
      <c r="T24" s="110"/>
    </row>
    <row r="25" spans="2:20">
      <c r="B25" s="605" t="s">
        <v>646</v>
      </c>
      <c r="C25" s="307"/>
      <c r="D25" s="306"/>
      <c r="E25" s="306"/>
      <c r="F25" s="595"/>
      <c r="G25" s="74"/>
      <c r="H25" s="295"/>
      <c r="I25" s="296">
        <f>SUM(I23:I24)</f>
        <v>98544.28</v>
      </c>
      <c r="J25" s="593">
        <v>25</v>
      </c>
      <c r="K25" s="509"/>
      <c r="L25" s="366"/>
      <c r="M25" s="362"/>
      <c r="N25" s="365"/>
      <c r="O25" s="362"/>
      <c r="P25" s="365"/>
      <c r="Q25" s="362"/>
      <c r="R25" s="365"/>
      <c r="S25" s="361"/>
      <c r="T25" s="110"/>
    </row>
    <row r="26" spans="2:20">
      <c r="B26" s="605"/>
      <c r="C26" s="307"/>
      <c r="D26" s="306"/>
      <c r="E26" s="306"/>
      <c r="F26" s="595"/>
      <c r="G26" s="74"/>
      <c r="H26" s="295"/>
      <c r="I26" s="296"/>
      <c r="J26" s="593"/>
      <c r="K26" s="509"/>
      <c r="L26" s="366"/>
      <c r="M26" s="362"/>
      <c r="N26" s="365"/>
      <c r="O26" s="362"/>
      <c r="P26" s="365"/>
      <c r="Q26" s="362"/>
      <c r="R26" s="365"/>
      <c r="S26" s="361"/>
      <c r="T26" s="110"/>
    </row>
    <row r="27" spans="2:20" ht="12" customHeight="1">
      <c r="B27" s="928"/>
      <c r="C27" s="929"/>
      <c r="D27" s="929"/>
      <c r="E27" s="929"/>
      <c r="F27" s="929"/>
      <c r="G27" s="929"/>
      <c r="H27" s="929"/>
      <c r="I27" s="930"/>
      <c r="J27" s="356"/>
      <c r="K27" s="356"/>
      <c r="L27" s="356"/>
      <c r="M27" s="356"/>
      <c r="N27" s="356"/>
      <c r="O27" s="356"/>
      <c r="P27" s="356"/>
      <c r="Q27" s="356"/>
      <c r="R27" s="356"/>
      <c r="S27" s="361"/>
      <c r="T27" s="110"/>
    </row>
    <row r="28" spans="2:20" ht="13.5" customHeight="1">
      <c r="B28" s="913" t="s">
        <v>86</v>
      </c>
      <c r="C28" s="914"/>
      <c r="D28" s="914"/>
      <c r="E28" s="914"/>
      <c r="F28" s="914"/>
      <c r="G28" s="914"/>
      <c r="H28" s="914"/>
      <c r="I28" s="233">
        <f>SUM(I13+I20+I25)</f>
        <v>882735.23246800003</v>
      </c>
      <c r="J28" s="600">
        <v>28</v>
      </c>
      <c r="K28" s="356"/>
      <c r="L28" s="356"/>
      <c r="M28" s="356"/>
      <c r="N28" s="367"/>
      <c r="O28" s="356"/>
      <c r="P28" s="367"/>
      <c r="Q28" s="356"/>
      <c r="R28" s="367"/>
      <c r="S28" s="361"/>
      <c r="T28" s="110"/>
    </row>
    <row r="29" spans="2:20">
      <c r="B29" s="915"/>
      <c r="C29" s="916"/>
      <c r="D29" s="916"/>
      <c r="E29" s="916"/>
      <c r="F29" s="916"/>
      <c r="G29" s="916"/>
      <c r="H29" s="916"/>
      <c r="I29" s="917"/>
      <c r="J29" s="356"/>
      <c r="K29" s="356"/>
      <c r="L29" s="356"/>
      <c r="M29" s="356"/>
      <c r="N29" s="356"/>
      <c r="O29" s="356"/>
      <c r="P29" s="356"/>
      <c r="Q29" s="356"/>
      <c r="R29" s="356"/>
      <c r="S29" s="361"/>
      <c r="T29" s="110"/>
    </row>
    <row r="30" spans="2:20">
      <c r="B30" s="900" t="s">
        <v>38</v>
      </c>
      <c r="C30" s="901"/>
      <c r="D30" s="902"/>
      <c r="E30" s="575"/>
      <c r="F30" s="575"/>
      <c r="G30" s="579"/>
      <c r="H30" s="580"/>
      <c r="I30" s="581"/>
      <c r="J30" s="593"/>
      <c r="K30" s="593"/>
      <c r="L30" s="366"/>
      <c r="M30" s="362"/>
      <c r="N30" s="363"/>
      <c r="O30" s="362"/>
      <c r="P30" s="363"/>
      <c r="Q30" s="362"/>
      <c r="R30" s="363"/>
      <c r="S30" s="361"/>
      <c r="T30" s="110"/>
    </row>
    <row r="31" spans="2:20">
      <c r="B31" s="610" t="s">
        <v>649</v>
      </c>
      <c r="C31" s="613"/>
      <c r="D31" s="615"/>
      <c r="E31" s="613"/>
      <c r="F31" s="613"/>
      <c r="G31" s="611"/>
      <c r="H31" s="613"/>
      <c r="I31" s="581"/>
      <c r="J31" s="593"/>
      <c r="K31" s="593"/>
      <c r="L31" s="366"/>
      <c r="M31" s="362"/>
      <c r="N31" s="363"/>
      <c r="O31" s="362"/>
      <c r="P31" s="363"/>
      <c r="Q31" s="362"/>
      <c r="R31" s="363"/>
      <c r="S31" s="361"/>
      <c r="T31" s="110"/>
    </row>
    <row r="32" spans="2:20">
      <c r="B32" s="614" t="s">
        <v>639</v>
      </c>
      <c r="C32" s="613"/>
      <c r="D32" s="615"/>
      <c r="E32" s="613"/>
      <c r="F32" s="613"/>
      <c r="G32" s="612">
        <v>0.1</v>
      </c>
      <c r="H32" s="613"/>
      <c r="I32" s="606">
        <f>G32*$I$28</f>
        <v>88273.523246800003</v>
      </c>
      <c r="J32" s="593"/>
      <c r="K32" s="593"/>
      <c r="L32" s="364"/>
      <c r="M32" s="362"/>
      <c r="N32" s="365"/>
      <c r="O32" s="362"/>
      <c r="P32" s="365"/>
      <c r="Q32" s="362"/>
      <c r="R32" s="365"/>
      <c r="S32" s="361"/>
      <c r="T32" s="110"/>
    </row>
    <row r="33" spans="2:20">
      <c r="B33" s="614" t="s">
        <v>640</v>
      </c>
      <c r="C33" s="613"/>
      <c r="D33" s="615"/>
      <c r="E33" s="613"/>
      <c r="F33" s="613"/>
      <c r="G33" s="612">
        <v>2.5000000000000001E-3</v>
      </c>
      <c r="H33" s="613"/>
      <c r="I33" s="606">
        <f>G33*$I$28</f>
        <v>2206.8380811700004</v>
      </c>
      <c r="J33" s="593"/>
      <c r="K33" s="593"/>
      <c r="L33" s="364"/>
      <c r="M33" s="362"/>
      <c r="N33" s="365"/>
      <c r="O33" s="362"/>
      <c r="P33" s="365"/>
      <c r="Q33" s="362"/>
      <c r="R33" s="365"/>
      <c r="S33" s="361"/>
      <c r="T33" s="110"/>
    </row>
    <row r="34" spans="2:20">
      <c r="B34" s="614" t="s">
        <v>641</v>
      </c>
      <c r="C34" s="613"/>
      <c r="D34" s="615"/>
      <c r="E34" s="613"/>
      <c r="F34" s="613"/>
      <c r="G34" s="612">
        <v>7.1999999999999998E-3</v>
      </c>
      <c r="H34" s="613"/>
      <c r="I34" s="606">
        <f>G34*$I$28</f>
        <v>6355.6936737695996</v>
      </c>
      <c r="J34" s="593"/>
      <c r="K34" s="593"/>
      <c r="L34" s="593"/>
      <c r="M34" s="362"/>
      <c r="N34" s="363"/>
      <c r="O34" s="362"/>
      <c r="P34" s="363"/>
      <c r="Q34" s="362"/>
      <c r="R34" s="363"/>
      <c r="S34" s="361"/>
      <c r="T34" s="110"/>
    </row>
    <row r="35" spans="2:20">
      <c r="B35" s="614" t="s">
        <v>642</v>
      </c>
      <c r="C35" s="613"/>
      <c r="D35" s="615"/>
      <c r="E35" s="613"/>
      <c r="F35" s="613"/>
      <c r="G35" s="612">
        <v>1.4E-3</v>
      </c>
      <c r="H35" s="613"/>
      <c r="I35" s="606">
        <f>G35*$I$28</f>
        <v>1235.8293254552</v>
      </c>
      <c r="J35" s="593"/>
      <c r="K35" s="593"/>
      <c r="L35" s="364"/>
      <c r="M35" s="362"/>
      <c r="N35" s="365"/>
      <c r="O35" s="362"/>
      <c r="P35" s="365"/>
      <c r="Q35" s="362"/>
      <c r="R35" s="365"/>
      <c r="S35" s="361"/>
      <c r="T35" s="110"/>
    </row>
    <row r="36" spans="2:20">
      <c r="B36" s="603" t="s">
        <v>648</v>
      </c>
      <c r="C36" s="613"/>
      <c r="D36" s="615"/>
      <c r="E36" s="613"/>
      <c r="F36" s="613"/>
      <c r="G36" s="612">
        <v>0.1111</v>
      </c>
      <c r="H36" s="613"/>
      <c r="I36" s="157">
        <f>SUM(I32:I35)</f>
        <v>98071.884327194799</v>
      </c>
      <c r="J36" s="600">
        <v>36</v>
      </c>
      <c r="K36" s="356"/>
      <c r="L36" s="356"/>
      <c r="M36" s="359"/>
      <c r="N36" s="356"/>
      <c r="O36" s="359"/>
      <c r="P36" s="356"/>
      <c r="Q36" s="359"/>
      <c r="R36" s="356"/>
      <c r="S36" s="361"/>
      <c r="T36" s="110"/>
    </row>
    <row r="37" spans="2:20" ht="13.5" customHeight="1">
      <c r="B37" s="610"/>
      <c r="C37" s="613"/>
      <c r="D37" s="615"/>
      <c r="E37" s="613"/>
      <c r="F37" s="613"/>
      <c r="G37" s="613"/>
      <c r="H37" s="613"/>
      <c r="I37" s="581"/>
      <c r="J37" s="304"/>
      <c r="K37" s="304"/>
      <c r="L37" s="304"/>
      <c r="M37" s="368"/>
      <c r="N37" s="367"/>
      <c r="O37" s="304"/>
      <c r="P37" s="367"/>
      <c r="Q37" s="304"/>
      <c r="R37" s="367"/>
      <c r="S37" s="361"/>
      <c r="T37" s="110"/>
    </row>
    <row r="38" spans="2:20" customFormat="1">
      <c r="B38" s="610" t="s">
        <v>654</v>
      </c>
      <c r="C38" s="613"/>
      <c r="D38" s="615"/>
      <c r="E38" s="613"/>
      <c r="F38" s="613"/>
      <c r="G38" s="613"/>
      <c r="H38" s="613"/>
      <c r="I38" s="581"/>
      <c r="J38" s="304"/>
      <c r="K38" s="304"/>
      <c r="L38" s="304"/>
      <c r="M38" s="304"/>
      <c r="N38" s="304"/>
      <c r="O38" s="304"/>
      <c r="P38" s="304"/>
      <c r="Q38" s="304"/>
      <c r="R38" s="304"/>
      <c r="S38" s="361"/>
      <c r="T38" s="299"/>
    </row>
    <row r="39" spans="2:20" ht="14.25" customHeight="1">
      <c r="B39" s="610" t="s">
        <v>673</v>
      </c>
      <c r="C39" s="613"/>
      <c r="D39" s="615"/>
      <c r="E39" s="613"/>
      <c r="F39" s="613"/>
      <c r="G39" s="612">
        <v>0.12</v>
      </c>
      <c r="H39" s="613"/>
      <c r="I39" s="604">
        <f>G39*I28</f>
        <v>105928.22789615999</v>
      </c>
      <c r="J39" s="684">
        <v>39</v>
      </c>
      <c r="K39" s="304"/>
      <c r="L39" s="304"/>
      <c r="M39" s="304"/>
      <c r="N39" s="369"/>
      <c r="O39" s="304"/>
      <c r="P39" s="369"/>
      <c r="Q39" s="304"/>
      <c r="R39" s="369"/>
      <c r="S39" s="356"/>
      <c r="T39" s="110"/>
    </row>
    <row r="40" spans="2:20">
      <c r="B40" s="610"/>
      <c r="C40" s="613"/>
      <c r="D40" s="615"/>
      <c r="E40" s="613"/>
      <c r="F40" s="613"/>
      <c r="G40" s="613"/>
      <c r="H40" s="613"/>
      <c r="I40" s="581"/>
      <c r="J40" s="110"/>
      <c r="K40" s="110"/>
      <c r="L40" s="110"/>
      <c r="M40" s="356"/>
      <c r="N40" s="360"/>
      <c r="O40" s="356"/>
      <c r="P40" s="360"/>
      <c r="Q40" s="356"/>
      <c r="R40" s="360"/>
      <c r="S40" s="110"/>
      <c r="T40" s="110"/>
    </row>
    <row r="41" spans="2:20">
      <c r="B41" s="610" t="s">
        <v>655</v>
      </c>
      <c r="C41" s="613"/>
      <c r="D41" s="615"/>
      <c r="E41" s="613"/>
      <c r="F41" s="613"/>
      <c r="G41" s="612"/>
      <c r="H41" s="613"/>
      <c r="I41" s="581"/>
      <c r="J41" s="110"/>
      <c r="K41" s="110"/>
      <c r="L41" s="110"/>
      <c r="M41" s="356"/>
      <c r="N41" s="361"/>
      <c r="O41" s="356"/>
      <c r="P41" s="356"/>
      <c r="Q41" s="356"/>
      <c r="R41" s="356"/>
      <c r="S41" s="110"/>
      <c r="T41" s="110"/>
    </row>
    <row r="42" spans="2:20" ht="12.75" customHeight="1">
      <c r="B42" s="614" t="s">
        <v>656</v>
      </c>
      <c r="C42" s="613"/>
      <c r="D42" s="615"/>
      <c r="E42" s="613"/>
      <c r="F42" s="613"/>
      <c r="G42" s="612">
        <v>2.3699999999999999E-2</v>
      </c>
      <c r="H42" s="613"/>
      <c r="I42" s="606">
        <f>G42*$I$28</f>
        <v>20920.8250094916</v>
      </c>
      <c r="J42" s="110"/>
      <c r="K42" s="110"/>
      <c r="L42" s="110"/>
      <c r="M42" s="110"/>
      <c r="N42" s="357"/>
      <c r="O42" s="357"/>
      <c r="P42" s="357"/>
      <c r="Q42" s="110"/>
      <c r="R42" s="357"/>
      <c r="S42" s="110"/>
      <c r="T42" s="110"/>
    </row>
    <row r="43" spans="2:20">
      <c r="B43" s="614" t="s">
        <v>657</v>
      </c>
      <c r="C43" s="613"/>
      <c r="D43" s="615"/>
      <c r="E43" s="613"/>
      <c r="F43" s="613"/>
      <c r="G43" s="612">
        <v>0.1091</v>
      </c>
      <c r="H43" s="613"/>
      <c r="I43" s="606">
        <f>G43*$I$28</f>
        <v>96306.413862258807</v>
      </c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</row>
    <row r="44" spans="2:20">
      <c r="B44" s="614" t="s">
        <v>658</v>
      </c>
      <c r="C44" s="613"/>
      <c r="D44" s="615"/>
      <c r="E44" s="613"/>
      <c r="F44" s="613"/>
      <c r="G44" s="612">
        <v>7.1800000000000003E-2</v>
      </c>
      <c r="H44" s="613"/>
      <c r="I44" s="606">
        <f>G44*$I$28</f>
        <v>63380.389691202407</v>
      </c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</row>
    <row r="45" spans="2:20">
      <c r="B45" s="610"/>
      <c r="C45" s="613"/>
      <c r="D45" s="615"/>
      <c r="E45" s="613"/>
      <c r="F45" s="613"/>
      <c r="G45" s="611"/>
      <c r="H45" s="613"/>
      <c r="I45" s="157">
        <f>SUM(I42:I44)</f>
        <v>180607.6285629528</v>
      </c>
      <c r="J45" s="89">
        <v>45</v>
      </c>
      <c r="K45" s="110"/>
      <c r="L45" s="110"/>
      <c r="M45" s="110"/>
      <c r="N45" s="110"/>
      <c r="O45" s="110"/>
      <c r="P45" s="110"/>
      <c r="Q45" s="110"/>
      <c r="R45" s="110"/>
      <c r="S45" s="110"/>
      <c r="T45" s="110"/>
    </row>
    <row r="46" spans="2:20">
      <c r="B46" s="925"/>
      <c r="C46" s="926"/>
      <c r="D46" s="926"/>
      <c r="E46" s="926"/>
      <c r="F46" s="926"/>
      <c r="G46" s="926"/>
      <c r="H46" s="926"/>
      <c r="I46" s="927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</row>
    <row r="47" spans="2:20">
      <c r="B47" s="913" t="s">
        <v>202</v>
      </c>
      <c r="C47" s="914"/>
      <c r="D47" s="914"/>
      <c r="E47" s="914"/>
      <c r="F47" s="914"/>
      <c r="G47" s="914"/>
      <c r="H47" s="914"/>
      <c r="I47" s="233">
        <f>I36+I39+I45</f>
        <v>384607.74078630761</v>
      </c>
      <c r="J47" s="685">
        <v>47</v>
      </c>
    </row>
    <row r="48" spans="2:20">
      <c r="B48" s="918"/>
      <c r="C48" s="919"/>
      <c r="D48" s="919"/>
      <c r="E48" s="919"/>
      <c r="F48" s="919"/>
      <c r="G48" s="919"/>
      <c r="H48" s="919"/>
      <c r="I48" s="920"/>
    </row>
    <row r="49" spans="2:9" ht="13.5" thickBot="1">
      <c r="B49" s="921" t="s">
        <v>203</v>
      </c>
      <c r="C49" s="922"/>
      <c r="D49" s="922"/>
      <c r="E49" s="922"/>
      <c r="F49" s="922"/>
      <c r="G49" s="922"/>
      <c r="H49" s="922"/>
      <c r="I49" s="85">
        <f>SUM(I28+I47)</f>
        <v>1267342.9732543076</v>
      </c>
    </row>
  </sheetData>
  <mergeCells count="25">
    <mergeCell ref="S2:S5"/>
    <mergeCell ref="B3:I3"/>
    <mergeCell ref="C4:I4"/>
    <mergeCell ref="C5:I5"/>
    <mergeCell ref="B30:D30"/>
    <mergeCell ref="B6:C6"/>
    <mergeCell ref="E6:G6"/>
    <mergeCell ref="H6:I6"/>
    <mergeCell ref="J6:L6"/>
    <mergeCell ref="Q6:R6"/>
    <mergeCell ref="B7:C7"/>
    <mergeCell ref="B27:I27"/>
    <mergeCell ref="Q2:R5"/>
    <mergeCell ref="M6:N6"/>
    <mergeCell ref="O6:P6"/>
    <mergeCell ref="B1:I1"/>
    <mergeCell ref="B2:I2"/>
    <mergeCell ref="J2:N5"/>
    <mergeCell ref="O2:P5"/>
    <mergeCell ref="B49:H49"/>
    <mergeCell ref="B46:I46"/>
    <mergeCell ref="B47:H47"/>
    <mergeCell ref="B48:I48"/>
    <mergeCell ref="B28:H28"/>
    <mergeCell ref="B29:I29"/>
  </mergeCells>
  <pageMargins left="0.511811024" right="0.511811024" top="0.78740157499999996" bottom="0.78740157499999996" header="0.31496062000000002" footer="0.31496062000000002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16</vt:i4>
      </vt:variant>
    </vt:vector>
  </HeadingPairs>
  <TitlesOfParts>
    <vt:vector size="34" baseType="lpstr">
      <vt:lpstr>DADOS</vt:lpstr>
      <vt:lpstr>DESPESAS GERAIS</vt:lpstr>
      <vt:lpstr>PROPOSTA DE PREÇOS POR PRODUTO</vt:lpstr>
      <vt:lpstr>DADOS_CONSULT</vt:lpstr>
      <vt:lpstr>CRONOGRAMA FÍSICO FINANCEIRO</vt:lpstr>
      <vt:lpstr>ORÇAMENTO</vt:lpstr>
      <vt:lpstr>PGA</vt:lpstr>
      <vt:lpstr>PAC</vt:lpstr>
      <vt:lpstr>PPEPP</vt:lpstr>
      <vt:lpstr>PMCH</vt:lpstr>
      <vt:lpstr>CUSTO MÉDIO ÁGUA</vt:lpstr>
      <vt:lpstr>PPFF_RESGBMF</vt:lpstr>
      <vt:lpstr>PPFF_SBPCSV</vt:lpstr>
      <vt:lpstr>PCSEA</vt:lpstr>
      <vt:lpstr>MAT. COMUN. SOCIAL</vt:lpstr>
      <vt:lpstr>PARQUEO</vt:lpstr>
      <vt:lpstr>POLU ATMOSF</vt:lpstr>
      <vt:lpstr>ASS</vt:lpstr>
      <vt:lpstr>'CRONOGRAMA FÍSICO FINANCEIRO'!Area_de_impressao</vt:lpstr>
      <vt:lpstr>'CUSTO MÉDIO ÁGUA'!Area_de_impressao</vt:lpstr>
      <vt:lpstr>DADOS!Area_de_impressao</vt:lpstr>
      <vt:lpstr>'DESPESAS GERAIS'!Area_de_impressao</vt:lpstr>
      <vt:lpstr>'MAT. COMUN. SOCIAL'!Area_de_impressao</vt:lpstr>
      <vt:lpstr>ORÇAMENTO!Area_de_impressao</vt:lpstr>
      <vt:lpstr>PAC!Area_de_impressao</vt:lpstr>
      <vt:lpstr>PARQUEO!Area_de_impressao</vt:lpstr>
      <vt:lpstr>PCSEA!Area_de_impressao</vt:lpstr>
      <vt:lpstr>PGA!Area_de_impressao</vt:lpstr>
      <vt:lpstr>PMCH!Area_de_impressao</vt:lpstr>
      <vt:lpstr>'POLU ATMOSF'!Area_de_impressao</vt:lpstr>
      <vt:lpstr>PPEPP!Area_de_impressao</vt:lpstr>
      <vt:lpstr>PPFF_RESGBMF!Area_de_impressao</vt:lpstr>
      <vt:lpstr>PPFF_SBPCSV!Area_de_impressao</vt:lpstr>
      <vt:lpstr>'PROPOSTA DE PREÇOS POR PRODUTO'!Area_de_impressao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leonardo.rodrigues@epl.gov.br</dc:creator>
  <cp:lastModifiedBy>Leonardo Silva Rodrigues</cp:lastModifiedBy>
  <cp:lastPrinted>2020-09-11T21:57:14Z</cp:lastPrinted>
  <dcterms:created xsi:type="dcterms:W3CDTF">2001-05-21T17:32:49Z</dcterms:created>
  <dcterms:modified xsi:type="dcterms:W3CDTF">2020-11-17T23:38:26Z</dcterms:modified>
</cp:coreProperties>
</file>